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lg.gov\files\users\alucas\My Documents\Performance Reporting_19\"/>
    </mc:Choice>
  </mc:AlternateContent>
  <bookViews>
    <workbookView xWindow="480" yWindow="1248" windowWidth="11352" windowHeight="7248" activeTab="1"/>
  </bookViews>
  <sheets>
    <sheet name="Code Sheet" sheetId="2" r:id="rId1"/>
    <sheet name="Report" sheetId="1" r:id="rId2"/>
    <sheet name="SRT Data" sheetId="3" r:id="rId3"/>
    <sheet name="Efficiency Calculations" sheetId="4" r:id="rId4"/>
    <sheet name=" " sheetId="5" r:id="rId5"/>
  </sheets>
  <calcPr calcId="162913"/>
</workbook>
</file>

<file path=xl/calcChain.xml><?xml version="1.0" encoding="utf-8"?>
<calcChain xmlns="http://schemas.openxmlformats.org/spreadsheetml/2006/main">
  <c r="N19" i="4" l="1"/>
  <c r="N20" i="4"/>
  <c r="F24" i="4" s="1"/>
  <c r="X27" i="4" l="1"/>
  <c r="X22" i="4"/>
  <c r="W27" i="4" l="1"/>
  <c r="W22" i="4"/>
  <c r="V27" i="4" l="1"/>
  <c r="V22" i="4"/>
  <c r="U27" i="4" l="1"/>
  <c r="T22" i="4"/>
  <c r="U22" i="4"/>
  <c r="O16" i="1"/>
  <c r="T27" i="4" l="1"/>
  <c r="S22" i="4" l="1"/>
  <c r="S27" i="4"/>
  <c r="R27" i="4" l="1"/>
  <c r="R21" i="4"/>
  <c r="R22" i="4" s="1"/>
  <c r="Q21" i="4"/>
  <c r="Q22" i="4" s="1"/>
  <c r="P21" i="4"/>
  <c r="O21" i="4"/>
  <c r="N21" i="4"/>
  <c r="M21" i="4"/>
  <c r="P22" i="4" l="1"/>
  <c r="Q27" i="4" l="1"/>
  <c r="P27" i="4"/>
  <c r="O22" i="4" l="1"/>
  <c r="N22" i="4" l="1"/>
  <c r="M22" i="4" l="1"/>
  <c r="G18" i="1" l="1"/>
  <c r="N45" i="4" l="1"/>
  <c r="N49" i="4"/>
  <c r="J15" i="1" l="1"/>
  <c r="C135" i="5" l="1"/>
  <c r="D135" i="5"/>
  <c r="E135" i="5"/>
  <c r="F135" i="5"/>
  <c r="G135" i="5"/>
  <c r="B135" i="5"/>
  <c r="A9" i="2"/>
  <c r="A10" i="2" s="1"/>
  <c r="A11" i="2" s="1"/>
  <c r="A12" i="2" s="1"/>
  <c r="A13" i="2" s="1"/>
  <c r="A14" i="2" s="1"/>
  <c r="A15" i="2" s="1"/>
  <c r="A16" i="2" s="1"/>
  <c r="A17" i="2" s="1"/>
  <c r="H18" i="1"/>
  <c r="Q14" i="5"/>
  <c r="R14" i="5"/>
  <c r="S14" i="5"/>
  <c r="T14" i="5"/>
  <c r="U14" i="5"/>
  <c r="V14" i="5"/>
  <c r="W14" i="5"/>
  <c r="X14" i="5"/>
  <c r="Y14" i="5"/>
  <c r="Z14" i="5"/>
  <c r="AA14" i="5"/>
  <c r="AB14" i="5"/>
  <c r="P14" i="5"/>
  <c r="A23" i="1" l="1"/>
  <c r="A19" i="1"/>
  <c r="A18" i="2"/>
  <c r="A19" i="2" s="1"/>
  <c r="A20" i="2" s="1"/>
  <c r="A21" i="2" s="1"/>
  <c r="A22" i="2" s="1"/>
  <c r="A23" i="2" s="1"/>
  <c r="A24" i="2" s="1"/>
  <c r="A25" i="2" s="1"/>
  <c r="A26" i="2" s="1"/>
  <c r="A27" i="2" s="1"/>
  <c r="A28" i="2" s="1"/>
  <c r="A29" i="2" s="1"/>
  <c r="A30" i="2" s="1"/>
  <c r="A17" i="1"/>
  <c r="B7" i="1"/>
  <c r="N38" i="4"/>
  <c r="N36" i="4"/>
  <c r="N50" i="4"/>
  <c r="O50" i="4" s="1"/>
  <c r="N46" i="4"/>
  <c r="O45" i="4" s="1"/>
  <c r="P24" i="1"/>
  <c r="P23" i="1"/>
  <c r="P22" i="1"/>
  <c r="P21" i="1"/>
  <c r="P20" i="1"/>
  <c r="P19" i="1"/>
  <c r="P17" i="1"/>
  <c r="P16" i="1"/>
  <c r="P18" i="1"/>
  <c r="P15" i="1"/>
  <c r="P14" i="1"/>
  <c r="P13" i="1"/>
  <c r="O22" i="1"/>
  <c r="O23" i="1"/>
  <c r="O12" i="1"/>
  <c r="P12" i="1"/>
  <c r="N30" i="4"/>
  <c r="N32" i="4"/>
  <c r="F23" i="4"/>
  <c r="F22" i="4"/>
  <c r="O8" i="4"/>
  <c r="B11" i="4" s="1"/>
  <c r="O7" i="4"/>
  <c r="B10" i="4" s="1"/>
  <c r="N7" i="4"/>
  <c r="N8" i="4"/>
  <c r="O24" i="1"/>
  <c r="O21" i="1"/>
  <c r="O20" i="1"/>
  <c r="O19" i="1"/>
  <c r="O18" i="1"/>
  <c r="O17" i="1"/>
  <c r="O15" i="1"/>
  <c r="O14" i="1"/>
  <c r="O13" i="1"/>
  <c r="N24" i="1"/>
  <c r="N23" i="1"/>
  <c r="N22" i="1"/>
  <c r="N21" i="1"/>
  <c r="N20" i="1"/>
  <c r="N19" i="1"/>
  <c r="N18" i="1"/>
  <c r="N17" i="1"/>
  <c r="N16" i="1"/>
  <c r="N15" i="1"/>
  <c r="N14" i="1"/>
  <c r="N13" i="1"/>
  <c r="N12" i="1"/>
  <c r="M24" i="1"/>
  <c r="M23" i="1"/>
  <c r="M22" i="1"/>
  <c r="M21" i="1"/>
  <c r="M20" i="1"/>
  <c r="M19" i="1"/>
  <c r="M18" i="1"/>
  <c r="M17" i="1"/>
  <c r="M16" i="1"/>
  <c r="M15" i="1"/>
  <c r="M14" i="1"/>
  <c r="M13" i="1"/>
  <c r="M12" i="1"/>
  <c r="L24" i="1"/>
  <c r="L23" i="1"/>
  <c r="L22" i="1"/>
  <c r="L21" i="1"/>
  <c r="L20" i="1"/>
  <c r="L19" i="1"/>
  <c r="L18" i="1"/>
  <c r="L17" i="1"/>
  <c r="L16" i="1"/>
  <c r="L15" i="1"/>
  <c r="L14" i="1"/>
  <c r="L13" i="1"/>
  <c r="L12" i="1"/>
  <c r="K24" i="1"/>
  <c r="K23" i="1"/>
  <c r="K22" i="1"/>
  <c r="K21" i="1"/>
  <c r="K20" i="1"/>
  <c r="K19" i="1"/>
  <c r="K18" i="1"/>
  <c r="K17" i="1"/>
  <c r="K16" i="1"/>
  <c r="K15" i="1"/>
  <c r="K14" i="1"/>
  <c r="K13" i="1"/>
  <c r="K12" i="1"/>
  <c r="J24" i="1"/>
  <c r="J23" i="1"/>
  <c r="J22" i="1"/>
  <c r="J21" i="1"/>
  <c r="J20" i="1"/>
  <c r="J19" i="1"/>
  <c r="J18" i="1"/>
  <c r="J17" i="1"/>
  <c r="J16" i="1"/>
  <c r="J14" i="1"/>
  <c r="J13" i="1"/>
  <c r="J12" i="1"/>
  <c r="I24" i="1"/>
  <c r="I23" i="1"/>
  <c r="I22" i="1"/>
  <c r="I21" i="1"/>
  <c r="I20" i="1"/>
  <c r="I19" i="1"/>
  <c r="I18" i="1"/>
  <c r="I17" i="1"/>
  <c r="I16" i="1"/>
  <c r="I15" i="1"/>
  <c r="I14" i="1"/>
  <c r="I13" i="1"/>
  <c r="I12" i="1"/>
  <c r="H24" i="1"/>
  <c r="H23" i="1"/>
  <c r="H22" i="1"/>
  <c r="H21" i="1"/>
  <c r="H20" i="1"/>
  <c r="H19" i="1"/>
  <c r="H17" i="1"/>
  <c r="H16" i="1"/>
  <c r="H15" i="1"/>
  <c r="H14" i="1"/>
  <c r="H13" i="1"/>
  <c r="H12" i="1"/>
  <c r="G24" i="1"/>
  <c r="G23" i="1"/>
  <c r="G22" i="1"/>
  <c r="G21" i="1"/>
  <c r="G20" i="1"/>
  <c r="G19" i="1"/>
  <c r="G17" i="1"/>
  <c r="G16" i="1"/>
  <c r="G15" i="1"/>
  <c r="G14" i="1"/>
  <c r="G13" i="1"/>
  <c r="G12" i="1"/>
  <c r="F24" i="1"/>
  <c r="F23" i="1"/>
  <c r="F22" i="1"/>
  <c r="F21" i="1"/>
  <c r="F20" i="1"/>
  <c r="F19" i="1"/>
  <c r="F18" i="1"/>
  <c r="F17" i="1"/>
  <c r="F16" i="1"/>
  <c r="F15" i="1"/>
  <c r="F14" i="1"/>
  <c r="F13" i="1"/>
  <c r="F12" i="1"/>
  <c r="E24" i="1"/>
  <c r="E23" i="1"/>
  <c r="E22" i="1"/>
  <c r="E21" i="1"/>
  <c r="E20" i="1"/>
  <c r="E19" i="1"/>
  <c r="E18" i="1"/>
  <c r="E17" i="1"/>
  <c r="E16" i="1"/>
  <c r="E15" i="1"/>
  <c r="E14" i="1"/>
  <c r="E13" i="1"/>
  <c r="E12" i="1"/>
  <c r="D24" i="1"/>
  <c r="D23" i="1"/>
  <c r="D22" i="1"/>
  <c r="A5" i="2"/>
  <c r="D12" i="1"/>
  <c r="D13" i="1"/>
  <c r="D14" i="1"/>
  <c r="D15" i="1"/>
  <c r="D16" i="1"/>
  <c r="D17" i="1"/>
  <c r="D18" i="1"/>
  <c r="D19" i="1"/>
  <c r="D20" i="1"/>
  <c r="D21" i="1"/>
  <c r="O37" i="4" l="1"/>
  <c r="Q17" i="1"/>
  <c r="Q23" i="1" s="1"/>
  <c r="Q13" i="1"/>
  <c r="Q19" i="1" s="1"/>
  <c r="Q15" i="1"/>
  <c r="Q21" i="1" s="1"/>
  <c r="Q16" i="1"/>
  <c r="Q22" i="1" s="1"/>
  <c r="Q14" i="1"/>
  <c r="Q20" i="1" s="1"/>
  <c r="Q12" i="1"/>
  <c r="Q18" i="1" s="1"/>
  <c r="Q24" i="1" s="1"/>
  <c r="O31" i="4"/>
  <c r="A12" i="1" l="1"/>
  <c r="A18" i="1"/>
  <c r="A21" i="1"/>
  <c r="A22" i="1"/>
  <c r="A24" i="1"/>
  <c r="A15" i="1" l="1"/>
  <c r="A14" i="1"/>
  <c r="A13" i="1"/>
  <c r="A16" i="1"/>
  <c r="A20" i="1"/>
</calcChain>
</file>

<file path=xl/comments1.xml><?xml version="1.0" encoding="utf-8"?>
<comments xmlns="http://schemas.openxmlformats.org/spreadsheetml/2006/main">
  <authors>
    <author>alucas</author>
  </authors>
  <commentList>
    <comment ref="Q6" authorId="0" shapeId="0">
      <text>
        <r>
          <rPr>
            <b/>
            <sz val="8"/>
            <color indexed="81"/>
            <rFont val="Tahoma"/>
            <family val="2"/>
          </rPr>
          <t xml:space="preserve">Stanly County:
</t>
        </r>
        <r>
          <rPr>
            <sz val="8"/>
            <color indexed="81"/>
            <rFont val="Tahoma"/>
            <family val="2"/>
          </rPr>
          <t xml:space="preserve">1  Agri-Civic Center
2  Airport
3  Animal Control
4  Board of Elections
5  Central Permitting
6  Economic Development (EDC) 
7  Emergency Mgt./Safety
8  EMS
9  Environmental Health
10  Facilities Maintenance
11  Health Department
12  Human Resources
13  Inspections
14  IT
15  Jail
16  Library
17  Planning &amp; Zoning
18  Register of Deeds
19  Road Naming
20  SCUSA
21  Sheriff's Office
22  Senior Services
23  Social Services
24  Tax Assessor
25  Tax Collector
26  Veteran Services 
27  Volunteer Fire
28  Utilities
29  911
</t>
        </r>
      </text>
    </comment>
  </commentList>
</comments>
</file>

<file path=xl/sharedStrings.xml><?xml version="1.0" encoding="utf-8"?>
<sst xmlns="http://schemas.openxmlformats.org/spreadsheetml/2006/main" count="772" uniqueCount="553">
  <si>
    <t>Monthly Performance Report</t>
  </si>
  <si>
    <t>Department</t>
  </si>
  <si>
    <t>Performance Measures</t>
  </si>
  <si>
    <t>Code</t>
  </si>
  <si>
    <t>Airport</t>
  </si>
  <si>
    <t>Board of Elections</t>
  </si>
  <si>
    <t>Health Department</t>
  </si>
  <si>
    <t>Jail</t>
  </si>
  <si>
    <t>Library</t>
  </si>
  <si>
    <t>Register of Deeds</t>
  </si>
  <si>
    <t>Sheriff's Office</t>
  </si>
  <si>
    <t>Social Services</t>
  </si>
  <si>
    <t>Tax Assessor</t>
  </si>
  <si>
    <t>Tax Collector</t>
  </si>
  <si>
    <t>Volunteer Fire</t>
  </si>
  <si>
    <t>Oct</t>
  </si>
  <si>
    <t>Nov</t>
  </si>
  <si>
    <t>Dec</t>
  </si>
  <si>
    <t>m1</t>
  </si>
  <si>
    <t>m2</t>
  </si>
  <si>
    <t>m3</t>
  </si>
  <si>
    <t>m4</t>
  </si>
  <si>
    <t>m5</t>
  </si>
  <si>
    <t># Registered voters</t>
  </si>
  <si>
    <t>% Voters using early voting</t>
  </si>
  <si>
    <t>EMS</t>
  </si>
  <si>
    <t># Fire inspections completed</t>
  </si>
  <si>
    <t># Inmates booked</t>
  </si>
  <si>
    <t># Inmates released</t>
  </si>
  <si>
    <t># Discoveries completed</t>
  </si>
  <si>
    <t># Business personal audits completed</t>
  </si>
  <si>
    <t># Exemption audits completed</t>
  </si>
  <si>
    <t># Calls for service</t>
  </si>
  <si>
    <t>Jan</t>
  </si>
  <si>
    <t>Feb</t>
  </si>
  <si>
    <t>Mar</t>
  </si>
  <si>
    <t>Apr</t>
  </si>
  <si>
    <t>May</t>
  </si>
  <si>
    <t>June</t>
  </si>
  <si>
    <t>Avg. daily population</t>
  </si>
  <si>
    <t>Avg. length of stay</t>
  </si>
  <si>
    <t>Fiscal Year</t>
  </si>
  <si>
    <t># Total service miles</t>
  </si>
  <si>
    <t># Total passengers</t>
  </si>
  <si>
    <t># Passengers per service hour</t>
  </si>
  <si>
    <t># Passengers per service mile</t>
  </si>
  <si>
    <t># Service hours</t>
  </si>
  <si>
    <t># Work orders</t>
  </si>
  <si>
    <t>% Registered voters voting</t>
  </si>
  <si>
    <t>$ Cost per meal served</t>
  </si>
  <si>
    <t>% Reoccurence of maltreatment</t>
  </si>
  <si>
    <t># New HIV/AIDS cases reported</t>
  </si>
  <si>
    <t># Materials circulated main library</t>
  </si>
  <si>
    <t># Computer users</t>
  </si>
  <si>
    <t># Monthly patrons</t>
  </si>
  <si>
    <t># Vital records issued</t>
  </si>
  <si>
    <t># Copies purchased</t>
  </si>
  <si>
    <t>% FAC Medicaid processing rate</t>
  </si>
  <si>
    <t>% Adult Medicaid processing rate</t>
  </si>
  <si>
    <t># CAD calls generated per staff hour</t>
  </si>
  <si>
    <t># Total CAD generated calls answered</t>
  </si>
  <si>
    <t>Road Naming</t>
  </si>
  <si>
    <t>Avg. total call time (min.)</t>
  </si>
  <si>
    <t>Avg. response time (min.)</t>
  </si>
  <si>
    <t>% Real property tax levy collected</t>
  </si>
  <si>
    <t>% Mainframe availability</t>
  </si>
  <si>
    <t>% Server availability</t>
  </si>
  <si>
    <t># Children daycare waiting list</t>
  </si>
  <si>
    <t>Avg. dispatch time - law enforcement (min.)</t>
  </si>
  <si>
    <t>Environmental Health</t>
  </si>
  <si>
    <t># Animals placed in shelter</t>
  </si>
  <si>
    <t># Animal control contacts</t>
  </si>
  <si>
    <t>Avg. clients seen per day</t>
  </si>
  <si>
    <t># Building inspections completed</t>
  </si>
  <si>
    <t># Mfg. home inspections completed</t>
  </si>
  <si>
    <t># Electrical inspections completed</t>
  </si>
  <si>
    <t># Plumbing inspections completed</t>
  </si>
  <si>
    <t># Mechanical inspections completed</t>
  </si>
  <si>
    <t># Inspections completed per staff hour</t>
  </si>
  <si>
    <t># Inspections per business day</t>
  </si>
  <si>
    <t># Total permits issued</t>
  </si>
  <si>
    <t># Handgun permits issued</t>
  </si>
  <si>
    <t># Concealed weapons permits issued</t>
  </si>
  <si>
    <t># Court days (all types)</t>
  </si>
  <si>
    <t>$ Cost per passenger</t>
  </si>
  <si>
    <t>$ Cost per vehicle mile</t>
  </si>
  <si>
    <t># Inmates booked per day</t>
  </si>
  <si>
    <t>July</t>
  </si>
  <si>
    <t>Aug</t>
  </si>
  <si>
    <t>Sept</t>
  </si>
  <si>
    <t>rjl1</t>
  </si>
  <si>
    <t>rjl2</t>
  </si>
  <si>
    <t>rjl3</t>
  </si>
  <si>
    <t>rjl4</t>
  </si>
  <si>
    <t>rjl5</t>
  </si>
  <si>
    <t>rjl6</t>
  </si>
  <si>
    <t>rjl7</t>
  </si>
  <si>
    <t>rjl8</t>
  </si>
  <si>
    <t>rjl9</t>
  </si>
  <si>
    <t>rjl10</t>
  </si>
  <si>
    <t># Avg. calls for service per day</t>
  </si>
  <si>
    <t># Avg. work orders per day</t>
  </si>
  <si>
    <t>ra1</t>
  </si>
  <si>
    <t>ra2</t>
  </si>
  <si>
    <t>ra3</t>
  </si>
  <si>
    <t>ra4</t>
  </si>
  <si>
    <t>ra5</t>
  </si>
  <si>
    <t>ra6</t>
  </si>
  <si>
    <t>ra7</t>
  </si>
  <si>
    <t>ra8</t>
  </si>
  <si>
    <t>ra9</t>
  </si>
  <si>
    <t>ra10</t>
  </si>
  <si>
    <t>rs1</t>
  </si>
  <si>
    <t>rs2</t>
  </si>
  <si>
    <t>rs3</t>
  </si>
  <si>
    <t>rs4</t>
  </si>
  <si>
    <t>rs5</t>
  </si>
  <si>
    <t>rs6</t>
  </si>
  <si>
    <t>rs7</t>
  </si>
  <si>
    <t>rs8</t>
  </si>
  <si>
    <t>rs9</t>
  </si>
  <si>
    <t>rs10</t>
  </si>
  <si>
    <t>Avg. turnout/enroute time (min.)</t>
  </si>
  <si>
    <t># Minor subdivision plats signed</t>
  </si>
  <si>
    <t># Major subdivision plats signed</t>
  </si>
  <si>
    <t># Phone calls/walk-ins handled</t>
  </si>
  <si>
    <t># Requests reviewed for local towns</t>
  </si>
  <si>
    <t>roc1</t>
  </si>
  <si>
    <t>roc2</t>
  </si>
  <si>
    <t>roc3</t>
  </si>
  <si>
    <t>roc4</t>
  </si>
  <si>
    <t>roc5</t>
  </si>
  <si>
    <t>roc6</t>
  </si>
  <si>
    <t>roc7</t>
  </si>
  <si>
    <t>roc8</t>
  </si>
  <si>
    <t>roc9</t>
  </si>
  <si>
    <t>roc10</t>
  </si>
  <si>
    <t>rnv1</t>
  </si>
  <si>
    <t>rnv2</t>
  </si>
  <si>
    <t>rnv3</t>
  </si>
  <si>
    <t>rnv4</t>
  </si>
  <si>
    <t>rnv5</t>
  </si>
  <si>
    <t>rnv6</t>
  </si>
  <si>
    <t>rnv7</t>
  </si>
  <si>
    <t>rnv8</t>
  </si>
  <si>
    <t>rnv9</t>
  </si>
  <si>
    <t>rnv10</t>
  </si>
  <si>
    <t>rdc1</t>
  </si>
  <si>
    <t>rdc2</t>
  </si>
  <si>
    <t>rdc3</t>
  </si>
  <si>
    <t>rdc4</t>
  </si>
  <si>
    <t>rdc5</t>
  </si>
  <si>
    <t>rdc6</t>
  </si>
  <si>
    <t>rdc7</t>
  </si>
  <si>
    <t>rdc8</t>
  </si>
  <si>
    <t>rdc9</t>
  </si>
  <si>
    <t>rdc10</t>
  </si>
  <si>
    <t>rjy1</t>
  </si>
  <si>
    <t>rjy2</t>
  </si>
  <si>
    <t>rjy3</t>
  </si>
  <si>
    <t>rjy4</t>
  </si>
  <si>
    <t>rjy5</t>
  </si>
  <si>
    <t>rjy6</t>
  </si>
  <si>
    <t>rjy7</t>
  </si>
  <si>
    <t>rjy8</t>
  </si>
  <si>
    <t>rjy9</t>
  </si>
  <si>
    <t>rjy10</t>
  </si>
  <si>
    <t>rfb1</t>
  </si>
  <si>
    <t>rfb2</t>
  </si>
  <si>
    <t>rfb3</t>
  </si>
  <si>
    <t>rfb4</t>
  </si>
  <si>
    <t>rfb5</t>
  </si>
  <si>
    <t>rfb6</t>
  </si>
  <si>
    <t>rfb7</t>
  </si>
  <si>
    <t>rfb8</t>
  </si>
  <si>
    <t>rfb9</t>
  </si>
  <si>
    <t>rfb10</t>
  </si>
  <si>
    <t>rmc1</t>
  </si>
  <si>
    <t>rmc2</t>
  </si>
  <si>
    <t>rmc3</t>
  </si>
  <si>
    <t>rmc4</t>
  </si>
  <si>
    <t>rmc5</t>
  </si>
  <si>
    <t>rmc6</t>
  </si>
  <si>
    <t>rmc7</t>
  </si>
  <si>
    <t>rmc8</t>
  </si>
  <si>
    <t>rmc9</t>
  </si>
  <si>
    <t>rmc10</t>
  </si>
  <si>
    <t>Veteran Services</t>
  </si>
  <si>
    <t># VA clients served via office visit</t>
  </si>
  <si>
    <t># Worker's compensation claims</t>
  </si>
  <si>
    <t>rap1</t>
  </si>
  <si>
    <t>rap2</t>
  </si>
  <si>
    <t>rap3</t>
  </si>
  <si>
    <t>rap4</t>
  </si>
  <si>
    <t>rap5</t>
  </si>
  <si>
    <t>rap6</t>
  </si>
  <si>
    <t>rap7</t>
  </si>
  <si>
    <t>rap8</t>
  </si>
  <si>
    <t>rap9</t>
  </si>
  <si>
    <t>rap10</t>
  </si>
  <si>
    <t>rmy1</t>
  </si>
  <si>
    <t>rmy2</t>
  </si>
  <si>
    <t>rmy3</t>
  </si>
  <si>
    <t>rmy4</t>
  </si>
  <si>
    <t>rmy5</t>
  </si>
  <si>
    <t>rmy6</t>
  </si>
  <si>
    <t>rmy7</t>
  </si>
  <si>
    <t>rmy8</t>
  </si>
  <si>
    <t>rmy9</t>
  </si>
  <si>
    <t>rmy10</t>
  </si>
  <si>
    <t>rjn1</t>
  </si>
  <si>
    <t>rjn2</t>
  </si>
  <si>
    <t>rjn3</t>
  </si>
  <si>
    <t>rjn4</t>
  </si>
  <si>
    <t>rjn5</t>
  </si>
  <si>
    <t>rjn6</t>
  </si>
  <si>
    <t>rjn7</t>
  </si>
  <si>
    <t>rjn8</t>
  </si>
  <si>
    <t>rjn9</t>
  </si>
  <si>
    <t>rjn10</t>
  </si>
  <si>
    <t>Stanly County</t>
  </si>
  <si>
    <t>Agri-Civic Center</t>
  </si>
  <si>
    <t xml:space="preserve">m6 </t>
  </si>
  <si>
    <t>m7</t>
  </si>
  <si>
    <t xml:space="preserve">m8 </t>
  </si>
  <si>
    <t>m9</t>
  </si>
  <si>
    <t>m10</t>
  </si>
  <si>
    <t>Facilities Maintenance</t>
  </si>
  <si>
    <t>Inspections</t>
  </si>
  <si>
    <t>Senior Services</t>
  </si>
  <si>
    <t>IT</t>
  </si>
  <si>
    <t>Planning/Zoning</t>
  </si>
  <si>
    <t>Utilities</t>
  </si>
  <si>
    <t>SCUSA</t>
  </si>
  <si>
    <t>Emergency Management/Safety</t>
  </si>
  <si>
    <t>Animal Control</t>
  </si>
  <si>
    <t xml:space="preserve">$ Total revenue </t>
  </si>
  <si>
    <t xml:space="preserve"># Visitors </t>
  </si>
  <si>
    <t>% Commercial buildings reviewed w/10 days</t>
  </si>
  <si>
    <t xml:space="preserve"># Total materials circulated </t>
  </si>
  <si>
    <t># Zoning issues addressed</t>
  </si>
  <si>
    <t xml:space="preserve">% Zoning violations addressed w/in 5 days </t>
  </si>
  <si>
    <t xml:space="preserve"># Paid events </t>
  </si>
  <si>
    <t># Free events</t>
  </si>
  <si>
    <t># Operations</t>
  </si>
  <si>
    <t># Hangar units leased</t>
  </si>
  <si>
    <t># Tie down units leased</t>
  </si>
  <si>
    <t># AV gas sales (gallons)</t>
  </si>
  <si>
    <t># Jet A sales (gallons)</t>
  </si>
  <si>
    <t># Planning Board/BOA cases prepared</t>
  </si>
  <si>
    <t># Zoning permits approved</t>
  </si>
  <si>
    <t>% Zoning permit inspections done w/in 24 hrs.</t>
  </si>
  <si>
    <t xml:space="preserve"># Plan reviews for fire code </t>
  </si>
  <si>
    <t># Property damage claims</t>
  </si>
  <si>
    <t># Clients served (In Home Services)</t>
  </si>
  <si>
    <t># Clients served (Information &amp; Referral)</t>
  </si>
  <si>
    <t># Clients served (Meal Program)</t>
  </si>
  <si>
    <t># Hours spent on other facility projects</t>
  </si>
  <si>
    <t># Monthly virtual users</t>
  </si>
  <si>
    <t>Library vists per capita</t>
  </si>
  <si>
    <t>Library use per capita</t>
  </si>
  <si>
    <t>$ County cost per library use</t>
  </si>
  <si>
    <t># Payment/transactions</t>
  </si>
  <si>
    <t># Field work orders processed</t>
  </si>
  <si>
    <t># Active developer based projects</t>
  </si>
  <si>
    <t># Active construction projects (in-house)</t>
  </si>
  <si>
    <t># New CPS investigations/assessments received</t>
  </si>
  <si>
    <t>% Child support collection rate</t>
  </si>
  <si>
    <t>% Internet availability</t>
  </si>
  <si>
    <t>% Work orders complete w/in 5 days</t>
  </si>
  <si>
    <t>m11</t>
  </si>
  <si>
    <t>m12</t>
  </si>
  <si>
    <t>m13</t>
  </si>
  <si>
    <t># Animals adopted or placed</t>
  </si>
  <si>
    <t># Restaurant inspections completed</t>
  </si>
  <si>
    <t># Total inspection site visits</t>
  </si>
  <si>
    <t># Soil/Site evaluations performed</t>
  </si>
  <si>
    <t>% Evaluations completed w/in 10 days</t>
  </si>
  <si>
    <t>% Existing inspections conducted w/in 10 days</t>
  </si>
  <si>
    <t># Total on-site wastewater visits</t>
  </si>
  <si>
    <t>% Well evaluations completed w/in 10 days</t>
  </si>
  <si>
    <t># Total private well visits</t>
  </si>
  <si>
    <t># Water samples collected</t>
  </si>
  <si>
    <t>rjl11</t>
  </si>
  <si>
    <t>rjl12</t>
  </si>
  <si>
    <t>rjl13</t>
  </si>
  <si>
    <t>ra11</t>
  </si>
  <si>
    <t>ra12</t>
  </si>
  <si>
    <t>ra13</t>
  </si>
  <si>
    <t>rs11</t>
  </si>
  <si>
    <t>rs12</t>
  </si>
  <si>
    <t>rs13</t>
  </si>
  <si>
    <t>roc11</t>
  </si>
  <si>
    <t>roc12</t>
  </si>
  <si>
    <t>roc13</t>
  </si>
  <si>
    <t>rnv11</t>
  </si>
  <si>
    <t>rnv12</t>
  </si>
  <si>
    <t>rnv13</t>
  </si>
  <si>
    <t>rdc11</t>
  </si>
  <si>
    <t>rdc12</t>
  </si>
  <si>
    <t>rdc13</t>
  </si>
  <si>
    <t>rjy11</t>
  </si>
  <si>
    <t>rjy12</t>
  </si>
  <si>
    <t>rjy13</t>
  </si>
  <si>
    <t>rfb11</t>
  </si>
  <si>
    <t>rfb12</t>
  </si>
  <si>
    <t>rfb13</t>
  </si>
  <si>
    <t>rmc11</t>
  </si>
  <si>
    <t>rmc12</t>
  </si>
  <si>
    <t>rmc13</t>
  </si>
  <si>
    <t>rap11</t>
  </si>
  <si>
    <t>rap12</t>
  </si>
  <si>
    <t>rap13</t>
  </si>
  <si>
    <t>rmy11</t>
  </si>
  <si>
    <t>rmy12</t>
  </si>
  <si>
    <t>rmy13</t>
  </si>
  <si>
    <t>rjn11</t>
  </si>
  <si>
    <t>rjn12</t>
  </si>
  <si>
    <t>rjn13</t>
  </si>
  <si>
    <t># Clients seen by nurse practitioner</t>
  </si>
  <si>
    <t># Clients seen by public health nurse</t>
  </si>
  <si>
    <t># New TB cases reported</t>
  </si>
  <si>
    <t># Prenatal care visits</t>
  </si>
  <si>
    <t># Family planning visits</t>
  </si>
  <si>
    <t># WIC patients served</t>
  </si>
  <si>
    <t>Avg. dental clinic patients per day</t>
  </si>
  <si>
    <t># Dental clinic patients seen in OR</t>
  </si>
  <si>
    <t># Home health therapy visits</t>
  </si>
  <si>
    <t># Bite investigations</t>
  </si>
  <si>
    <t>% Criminal cases closed w/arrest</t>
  </si>
  <si>
    <t xml:space="preserve"> </t>
  </si>
  <si>
    <t># Civil papers and executions served</t>
  </si>
  <si>
    <t># Total criminal incidents</t>
  </si>
  <si>
    <t># Drug and vice cases initiated</t>
  </si>
  <si>
    <t>$ Total construction value (millions)</t>
  </si>
  <si>
    <t>FY 09 Budget</t>
  </si>
  <si>
    <t>Passengers</t>
  </si>
  <si>
    <t>Miles</t>
  </si>
  <si>
    <t>Au</t>
  </si>
  <si>
    <t>S</t>
  </si>
  <si>
    <t>O</t>
  </si>
  <si>
    <t>N</t>
  </si>
  <si>
    <t>D</t>
  </si>
  <si>
    <t>Ja</t>
  </si>
  <si>
    <t>F</t>
  </si>
  <si>
    <t>Ap</t>
  </si>
  <si>
    <t>Mr</t>
  </si>
  <si>
    <t>My</t>
  </si>
  <si>
    <t>Jy</t>
  </si>
  <si>
    <t>Jn</t>
  </si>
  <si>
    <t>Total</t>
  </si>
  <si>
    <t>Total Projection</t>
  </si>
  <si>
    <t>Cost Per</t>
  </si>
  <si>
    <t>% Total utilization rate</t>
  </si>
  <si>
    <t>% Utilization per unit</t>
  </si>
  <si>
    <t>M-11</t>
  </si>
  <si>
    <t>M-12</t>
  </si>
  <si>
    <t>M-21</t>
  </si>
  <si>
    <t>M-31</t>
  </si>
  <si>
    <t>% Work First participation rate</t>
  </si>
  <si>
    <t xml:space="preserve">Library </t>
  </si>
  <si>
    <t>Population</t>
  </si>
  <si>
    <t>Visits</t>
  </si>
  <si>
    <t>Use</t>
  </si>
  <si>
    <t>Visits per capita</t>
  </si>
  <si>
    <t>Use per capita</t>
  </si>
  <si>
    <t>County $ per use</t>
  </si>
  <si>
    <t>$ Inc. assessed value - audit (millions)</t>
  </si>
  <si>
    <t>$ Inc. assessed value - discovery (millions)</t>
  </si>
  <si>
    <t># Voter registration changes</t>
  </si>
  <si>
    <t># New voter registrations</t>
  </si>
  <si>
    <t># Voter removals</t>
  </si>
  <si>
    <t xml:space="preserve"># Avg. officials per precinct </t>
  </si>
  <si>
    <t># Trained election officials</t>
  </si>
  <si>
    <t>% Work orders initial response w/in 5 days</t>
  </si>
  <si>
    <t># Avg. clients served per day</t>
  </si>
  <si>
    <t># Total (district) stand-by</t>
  </si>
  <si>
    <t># Total deeds of trust indexed</t>
  </si>
  <si>
    <t># Total deeds indexed</t>
  </si>
  <si>
    <t># Field work orders processed per day</t>
  </si>
  <si>
    <t xml:space="preserve">$ Recording fees </t>
  </si>
  <si>
    <t>Sheriff</t>
  </si>
  <si>
    <t>cases received</t>
  </si>
  <si>
    <t>Jan.</t>
  </si>
  <si>
    <t>closed w/arrest</t>
  </si>
  <si>
    <t>total</t>
  </si>
  <si>
    <t># Adult &amp; children program participants</t>
  </si>
  <si>
    <t># Individuals served by DSS monthly (duplicated count)</t>
  </si>
  <si>
    <t># Scholarship awards</t>
  </si>
  <si>
    <t># Subdivision plats revised</t>
  </si>
  <si>
    <t># Accounts maintained</t>
  </si>
  <si>
    <t xml:space="preserve">jail ALOS </t>
  </si>
  <si>
    <t xml:space="preserve">bed days equals ADP x number of days in month </t>
  </si>
  <si>
    <t>Bed days divided by admissions equals ALOS</t>
  </si>
  <si>
    <t>Avg. dispatch time - medic (min.)</t>
  </si>
  <si>
    <t>Avg. dispatch time - fire (min.)</t>
  </si>
  <si>
    <t># Measures taken for new addresses</t>
  </si>
  <si>
    <t># Deeds of trust indexed per day</t>
  </si>
  <si>
    <t># New signs made &amp; installed</t>
  </si>
  <si>
    <t># Replacement signs made &amp; installed</t>
  </si>
  <si>
    <t># Signs moved, fixed or reset</t>
  </si>
  <si>
    <t># Hours spent on other facilities maintenance issues</t>
  </si>
  <si>
    <t>% Pretrial inmates</t>
  </si>
  <si>
    <t>Assessment to sales ratio (real property)</t>
  </si>
  <si>
    <t>$ Transfer stamp fees</t>
  </si>
  <si>
    <t>Pretrial</t>
  </si>
  <si>
    <t>rearrested</t>
  </si>
  <si>
    <t># Home health total admissions</t>
  </si>
  <si>
    <t>$ NC debt set-off revenue</t>
  </si>
  <si>
    <t>$ In Rem foreclosures</t>
  </si>
  <si>
    <t>$ Escheat</t>
  </si>
  <si>
    <t>% Total levy collected</t>
  </si>
  <si>
    <t># Lost time worker's comp claims</t>
  </si>
  <si>
    <t># Total days lost time for worker's comp</t>
  </si>
  <si>
    <t>FY 101</t>
  </si>
  <si>
    <t>FY 102</t>
  </si>
  <si>
    <t>FY 103</t>
  </si>
  <si>
    <t>FY 104</t>
  </si>
  <si>
    <t>FY 105</t>
  </si>
  <si>
    <t>FY 106</t>
  </si>
  <si>
    <t>FY 107</t>
  </si>
  <si>
    <t>FY 108</t>
  </si>
  <si>
    <t>FY 109</t>
  </si>
  <si>
    <t>FY 1010</t>
  </si>
  <si>
    <t>FY 1011</t>
  </si>
  <si>
    <t>FY 1012</t>
  </si>
  <si>
    <t>FY 1013</t>
  </si>
  <si>
    <t># STD cases treated</t>
  </si>
  <si>
    <t>Central Permitting</t>
  </si>
  <si>
    <t># Phone calls received/made</t>
  </si>
  <si>
    <t># Calls received/made per staff hour</t>
  </si>
  <si>
    <t># Counter assistance provided</t>
  </si>
  <si>
    <t># Counter assistance provided per staff hour</t>
  </si>
  <si>
    <t># Code enforcement case hours</t>
  </si>
  <si>
    <t>Human Resources</t>
  </si>
  <si>
    <t>% Voluntary turnover rate</t>
  </si>
  <si>
    <t xml:space="preserve"># Hours LWOP utilized </t>
  </si>
  <si>
    <t># Hours sick leave utilized</t>
  </si>
  <si>
    <t xml:space="preserve"># Total terminations </t>
  </si>
  <si>
    <t># Voluntary terminations</t>
  </si>
  <si>
    <t># Active enforced collections</t>
  </si>
  <si>
    <t># Enforced collections executed</t>
  </si>
  <si>
    <t># EMS Garnishments</t>
  </si>
  <si>
    <t># Quality assurance visits</t>
  </si>
  <si>
    <t>HR</t>
  </si>
  <si>
    <t>Voluntary Term</t>
  </si>
  <si>
    <t>% Vol. Turnover Rate</t>
  </si>
  <si>
    <t>average</t>
  </si>
  <si>
    <t>% Overall turnover rate</t>
  </si>
  <si>
    <t>Total Term</t>
  </si>
  <si>
    <t>% Total Turnover Rate</t>
  </si>
  <si>
    <t>Released</t>
  </si>
  <si>
    <t>Target</t>
  </si>
  <si>
    <t>% of Target</t>
  </si>
  <si>
    <t>Ag Center</t>
  </si>
  <si>
    <t>FY 11-12 results below</t>
  </si>
  <si>
    <t>Measure</t>
  </si>
  <si>
    <t>Elections</t>
  </si>
  <si>
    <t>Cooperative Ext.</t>
  </si>
  <si>
    <t>Emergency Mgt.</t>
  </si>
  <si>
    <t>Environmental Hlt</t>
  </si>
  <si>
    <t>Health</t>
  </si>
  <si>
    <t>Pretrial Release</t>
  </si>
  <si>
    <t>Planning</t>
  </si>
  <si>
    <t>Veterans</t>
  </si>
  <si>
    <t># Contacts per business day</t>
  </si>
  <si>
    <t>% Treated water loss</t>
  </si>
  <si>
    <t># Total VA clients served (duplicate count)</t>
  </si>
  <si>
    <t># Clients served by phone correspondence</t>
  </si>
  <si>
    <t>FY 10-11 results below</t>
  </si>
  <si>
    <t>Target information for FY 11-12 (blended FY 09-10 and FY 10-11 data results)</t>
  </si>
  <si>
    <t>Target information for FY 12-13 (blended FY 10-11 and FY 11-12 data results)</t>
  </si>
  <si>
    <t># Rabies testing cases</t>
  </si>
  <si>
    <t xml:space="preserve"># Avg. individuals served per day </t>
  </si>
  <si>
    <t># Cumulative gallons of water purchased (millions)</t>
  </si>
  <si>
    <t># Cumulative gallons sold (millions)</t>
  </si>
  <si>
    <t>FY 12-13 results below</t>
  </si>
  <si>
    <t>Target information for FY 13-14 (blended FY 10-11, FY 11-12 and FY 12-13 data results)</t>
  </si>
  <si>
    <t>$ Hangar revenue</t>
  </si>
  <si>
    <t>$ Tie down revenue</t>
  </si>
  <si>
    <t>$ Total revenue from leased office space</t>
  </si>
  <si>
    <t># Zoning inspections completed</t>
  </si>
  <si>
    <t># New active leads</t>
  </si>
  <si>
    <t># New suspect leads</t>
  </si>
  <si>
    <t># Site visits</t>
  </si>
  <si>
    <t xml:space="preserve">Economic Development </t>
  </si>
  <si>
    <t>Economic Development (EDC)</t>
  </si>
  <si>
    <t>Planning &amp; Zoning</t>
  </si>
  <si>
    <t># Projects announced</t>
  </si>
  <si>
    <t># Jobs associated w/announced projects</t>
  </si>
  <si>
    <t>M-32</t>
  </si>
  <si>
    <t>% 911 calls answered in 10 seconds or less</t>
  </si>
  <si>
    <t># Existing industry/business visits</t>
  </si>
  <si>
    <t># Total active projects</t>
  </si>
  <si>
    <t>FY 13-14 results below</t>
  </si>
  <si>
    <t>Target information for FY 14-15 (blended FY 10-11, FY 11-12, FY 12-13 and FY 13-14 data results)</t>
  </si>
  <si>
    <t>Economic Development</t>
  </si>
  <si>
    <t>$ Deed of trust loan amounts (millions)</t>
  </si>
  <si>
    <t>$ Project investment amount (millions)</t>
  </si>
  <si>
    <t xml:space="preserve">  </t>
  </si>
  <si>
    <t># Hours spent at jail facility/sheriff's office</t>
  </si>
  <si>
    <t># Clients trips (Transportation)</t>
  </si>
  <si>
    <t>M-51</t>
  </si>
  <si>
    <t>$ Total paid health claims</t>
  </si>
  <si>
    <t>Fire</t>
  </si>
  <si>
    <t>Fire (all Depts. Including Albemarle)</t>
  </si>
  <si>
    <t># Un-rentable days due to rehearsals</t>
  </si>
  <si>
    <t># Total violent crime incidents</t>
  </si>
  <si>
    <t># Disqualifed during exemption audit</t>
  </si>
  <si>
    <t xml:space="preserve"># Total calls </t>
  </si>
  <si>
    <t>% Avg. Food Stamp processing rate</t>
  </si>
  <si>
    <t>% Food stamp accuracy rate</t>
  </si>
  <si>
    <t># Total AFD calls</t>
  </si>
  <si>
    <t>Avg. VFD fire calls per day</t>
  </si>
  <si>
    <t># Total VFD calls</t>
  </si>
  <si>
    <t># Total VFD fire calls</t>
  </si>
  <si>
    <t># Total AFD fire calls</t>
  </si>
  <si>
    <t>Avg. AFD fire calls per day</t>
  </si>
  <si>
    <t># Total medical calls - VFD first responder</t>
  </si>
  <si>
    <t xml:space="preserve"># Total medical calls - AFD first responder </t>
  </si>
  <si>
    <t>Avg. medical calls AFD fire responder per day</t>
  </si>
  <si>
    <t>Avg. medical calls VFD first responder per day</t>
  </si>
  <si>
    <t>Avg. response time - first engine VFD (min.)</t>
  </si>
  <si>
    <t>Avg. response time - first engine AFD (min.)</t>
  </si>
  <si>
    <t>Employees = 450</t>
  </si>
  <si>
    <t># EM/Fire investigation response</t>
  </si>
  <si>
    <t># Clients using transportation services</t>
  </si>
  <si>
    <t># Direct follow-up w/prospect business or consultant</t>
  </si>
  <si>
    <t># Deeds processed per month (tax mapping)</t>
  </si>
  <si>
    <t xml:space="preserve"># History Center visitors </t>
  </si>
  <si>
    <t># History Center event attendance</t>
  </si>
  <si>
    <t># History Center general public tours</t>
  </si>
  <si>
    <t># History Center school based tours</t>
  </si>
  <si>
    <t># Claims &amp; other written action submitted</t>
  </si>
  <si>
    <t>#Claims/written actions per day</t>
  </si>
  <si>
    <t xml:space="preserve">   </t>
  </si>
  <si>
    <t># Dogs euthanized</t>
  </si>
  <si>
    <t># Cats euthanized</t>
  </si>
  <si>
    <t>63,069 (July 1, 2018)</t>
  </si>
  <si>
    <r>
      <t xml:space="preserve"># Work orders received </t>
    </r>
    <r>
      <rPr>
        <sz val="7"/>
        <rFont val="Times New Roman"/>
        <family val="1"/>
      </rPr>
      <t>(</t>
    </r>
    <r>
      <rPr>
        <sz val="5"/>
        <rFont val="Times New Roman"/>
        <family val="1"/>
      </rPr>
      <t>entered in online system</t>
    </r>
    <r>
      <rPr>
        <sz val="7"/>
        <rFont val="Times New Roman"/>
        <family val="1"/>
      </rPr>
      <t>)</t>
    </r>
  </si>
  <si>
    <t xml:space="preserve">May </t>
  </si>
  <si>
    <t xml:space="preserve">Apr </t>
  </si>
  <si>
    <t>Cost per participant per day</t>
  </si>
  <si>
    <t>Cost per month</t>
  </si>
  <si>
    <t>Avg. cost per participant per day</t>
  </si>
  <si>
    <t># Avg. clients served per day at Albemarle Senior Ctr</t>
  </si>
  <si>
    <t xml:space="preserve"># Avg. clients served per day at West Stanly Senior Ctr </t>
  </si>
  <si>
    <t>Avg. participants per day West Sr. Ctr.</t>
  </si>
  <si>
    <t>Avg participant per day Alb Sr. Ctr.</t>
  </si>
  <si>
    <t>Annual Albemarle Sr. Center Budget (less trips and W Stanly contract)</t>
  </si>
  <si>
    <t xml:space="preserve">Annual West Sr. Ctr budget </t>
  </si>
  <si>
    <t># Clients served at Albemarle (Center Activities)</t>
  </si>
  <si>
    <t># Clients served at West Stanly (Center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</si>
</sst>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quot;$&quot;#,##0.00"/>
    <numFmt numFmtId="167" formatCode="&quot;$&quot;#,##0"/>
  </numFmts>
  <fonts count="35" x14ac:knownFonts="1">
    <font>
      <sz val="10"/>
      <name val="Arial"/>
    </font>
    <font>
      <b/>
      <sz val="10"/>
      <name val="Arial"/>
      <family val="2"/>
    </font>
    <font>
      <sz val="10"/>
      <name val="Times New Roman"/>
      <family val="1"/>
    </font>
    <font>
      <b/>
      <sz val="10"/>
      <name val="Times New Roman"/>
      <family val="1"/>
    </font>
    <font>
      <b/>
      <sz val="14"/>
      <name val="Times New Roman"/>
      <family val="1"/>
    </font>
    <font>
      <b/>
      <sz val="12"/>
      <name val="Times New Roman"/>
      <family val="1"/>
    </font>
    <font>
      <sz val="8"/>
      <color indexed="81"/>
      <name val="Tahoma"/>
      <family val="2"/>
    </font>
    <font>
      <b/>
      <sz val="8"/>
      <color indexed="81"/>
      <name val="Tahoma"/>
      <family val="2"/>
    </font>
    <font>
      <sz val="8"/>
      <color indexed="17"/>
      <name val="Times New Roman"/>
      <family val="1"/>
    </font>
    <font>
      <sz val="8"/>
      <color indexed="12"/>
      <name val="Times New Roman"/>
      <family val="1"/>
    </font>
    <font>
      <sz val="8"/>
      <color indexed="20"/>
      <name val="Times New Roman"/>
      <family val="1"/>
    </font>
    <font>
      <sz val="8"/>
      <name val="Arial"/>
      <family val="2"/>
    </font>
    <font>
      <sz val="8"/>
      <name val="Times New Roman"/>
      <family val="1"/>
    </font>
    <font>
      <sz val="10"/>
      <name val="Arial"/>
      <family val="2"/>
    </font>
    <font>
      <sz val="11"/>
      <name val="Times New Roman"/>
      <family val="1"/>
    </font>
    <font>
      <sz val="9"/>
      <name val="Times New Roman"/>
      <family val="1"/>
    </font>
    <font>
      <sz val="8"/>
      <color rgb="FF00B050"/>
      <name val="Times New Roman"/>
      <family val="1"/>
    </font>
    <font>
      <sz val="8"/>
      <color rgb="FF0000FF"/>
      <name val="Times New Roman"/>
      <family val="1"/>
    </font>
    <font>
      <sz val="8"/>
      <name val="Arial"/>
      <family val="2"/>
    </font>
    <font>
      <b/>
      <sz val="9"/>
      <name val="Times New Roman"/>
      <family val="1"/>
    </font>
    <font>
      <sz val="10"/>
      <color theme="0"/>
      <name val="Times New Roman"/>
      <family val="1"/>
    </font>
    <font>
      <b/>
      <sz val="10.5"/>
      <name val="Cambria"/>
      <family val="1"/>
      <scheme val="major"/>
    </font>
    <font>
      <sz val="10"/>
      <name val="Cambria"/>
      <family val="1"/>
      <scheme val="major"/>
    </font>
    <font>
      <b/>
      <sz val="9.5"/>
      <name val="Cambria"/>
      <family val="1"/>
      <scheme val="major"/>
    </font>
    <font>
      <sz val="9.5"/>
      <name val="Cambria"/>
      <family val="1"/>
      <scheme val="major"/>
    </font>
    <font>
      <b/>
      <sz val="12"/>
      <name val="Cambria"/>
      <family val="1"/>
      <scheme val="major"/>
    </font>
    <font>
      <b/>
      <u/>
      <sz val="9.5"/>
      <name val="Cambria"/>
      <family val="1"/>
      <scheme val="major"/>
    </font>
    <font>
      <sz val="10"/>
      <name val="Pristina"/>
      <family val="4"/>
    </font>
    <font>
      <b/>
      <sz val="30"/>
      <name val="Pristina"/>
      <family val="4"/>
    </font>
    <font>
      <b/>
      <sz val="25"/>
      <name val="Pristina"/>
      <family val="4"/>
    </font>
    <font>
      <sz val="25"/>
      <name val="Pristina"/>
      <family val="4"/>
    </font>
    <font>
      <sz val="25"/>
      <name val="Times New Roman"/>
      <family val="1"/>
    </font>
    <font>
      <sz val="7"/>
      <name val="Times New Roman"/>
      <family val="1"/>
    </font>
    <font>
      <sz val="5"/>
      <name val="Times New Roman"/>
      <family val="1"/>
    </font>
    <font>
      <u/>
      <sz val="10"/>
      <name val="Arial"/>
      <family val="2"/>
    </font>
  </fonts>
  <fills count="9">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2" tint="-0.249977111117893"/>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D9D9D9"/>
        <bgColor indexed="64"/>
      </patternFill>
    </fill>
  </fills>
  <borders count="19">
    <border>
      <left/>
      <right/>
      <top/>
      <bottom/>
      <diagonal/>
    </border>
    <border>
      <left/>
      <right style="medium">
        <color indexed="64"/>
      </right>
      <top/>
      <bottom/>
      <diagonal/>
    </border>
    <border>
      <left/>
      <right/>
      <top style="medium">
        <color indexed="64"/>
      </top>
      <bottom/>
      <diagonal/>
    </border>
    <border>
      <left style="thick">
        <color rgb="FF368ED6"/>
      </left>
      <right/>
      <top style="thick">
        <color rgb="FF368ED6"/>
      </top>
      <bottom style="medium">
        <color theme="3" tint="-0.499984740745262"/>
      </bottom>
      <diagonal/>
    </border>
    <border>
      <left/>
      <right/>
      <top style="thick">
        <color rgb="FF368ED6"/>
      </top>
      <bottom style="medium">
        <color theme="3" tint="-0.499984740745262"/>
      </bottom>
      <diagonal/>
    </border>
    <border>
      <left/>
      <right/>
      <top style="thick">
        <color rgb="FF368ED6"/>
      </top>
      <bottom/>
      <diagonal/>
    </border>
    <border>
      <left/>
      <right style="thick">
        <color rgb="FF368ED6"/>
      </right>
      <top style="thick">
        <color rgb="FF368ED6"/>
      </top>
      <bottom/>
      <diagonal/>
    </border>
    <border>
      <left style="thick">
        <color rgb="FF368ED6"/>
      </left>
      <right/>
      <top/>
      <bottom/>
      <diagonal/>
    </border>
    <border>
      <left/>
      <right style="thick">
        <color rgb="FF368ED6"/>
      </right>
      <top style="medium">
        <color indexed="64"/>
      </top>
      <bottom/>
      <diagonal/>
    </border>
    <border>
      <left/>
      <right style="thick">
        <color rgb="FF368ED6"/>
      </right>
      <top/>
      <bottom/>
      <diagonal/>
    </border>
    <border>
      <left style="thick">
        <color rgb="FF368ED6"/>
      </left>
      <right/>
      <top/>
      <bottom style="thick">
        <color rgb="FF368ED6"/>
      </bottom>
      <diagonal/>
    </border>
    <border>
      <left/>
      <right/>
      <top/>
      <bottom style="thick">
        <color rgb="FF368ED6"/>
      </bottom>
      <diagonal/>
    </border>
    <border>
      <left/>
      <right style="thick">
        <color rgb="FF368ED6"/>
      </right>
      <top/>
      <bottom style="thick">
        <color rgb="FF368ED6"/>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125">
    <xf numFmtId="0" fontId="0" fillId="0" borderId="0" xfId="0"/>
    <xf numFmtId="0" fontId="2" fillId="0" borderId="0" xfId="0" applyFont="1" applyAlignment="1">
      <alignment vertical="top"/>
    </xf>
    <xf numFmtId="0" fontId="1" fillId="2" borderId="0" xfId="0" applyFont="1" applyFill="1"/>
    <xf numFmtId="0" fontId="2" fillId="0" borderId="0" xfId="0" applyFont="1" applyFill="1" applyAlignment="1">
      <alignment vertical="top"/>
    </xf>
    <xf numFmtId="0" fontId="1" fillId="2" borderId="0" xfId="0" applyFont="1" applyFill="1" applyAlignment="1">
      <alignment horizontal="center"/>
    </xf>
    <xf numFmtId="0" fontId="2" fillId="0" borderId="1" xfId="0" applyFont="1" applyBorder="1" applyAlignment="1">
      <alignment horizontal="left"/>
    </xf>
    <xf numFmtId="0" fontId="2" fillId="0" borderId="1" xfId="0" applyFont="1" applyFill="1" applyBorder="1" applyAlignment="1">
      <alignment horizontal="left"/>
    </xf>
    <xf numFmtId="0" fontId="0" fillId="0" borderId="0" xfId="0" applyFill="1"/>
    <xf numFmtId="0" fontId="0" fillId="0" borderId="0" xfId="0" applyFill="1" applyBorder="1"/>
    <xf numFmtId="0" fontId="1" fillId="0" borderId="0" xfId="0" applyFont="1"/>
    <xf numFmtId="0" fontId="0" fillId="0" borderId="0" xfId="0" applyAlignment="1">
      <alignment horizontal="center"/>
    </xf>
    <xf numFmtId="0" fontId="13" fillId="0" borderId="0" xfId="0" applyFont="1"/>
    <xf numFmtId="9" fontId="0" fillId="0" borderId="0" xfId="0" applyNumberFormat="1" applyAlignment="1">
      <alignment horizontal="center"/>
    </xf>
    <xf numFmtId="0" fontId="0" fillId="0" borderId="0" xfId="0" applyAlignment="1">
      <alignment horizontal="left"/>
    </xf>
    <xf numFmtId="0" fontId="1" fillId="0" borderId="0" xfId="0" applyFont="1" applyAlignment="1">
      <alignment horizontal="left"/>
    </xf>
    <xf numFmtId="1" fontId="0" fillId="0" borderId="0" xfId="0" applyNumberFormat="1" applyAlignment="1">
      <alignment horizontal="center"/>
    </xf>
    <xf numFmtId="0" fontId="13" fillId="0" borderId="0" xfId="0" applyFont="1" applyAlignment="1">
      <alignment horizontal="center"/>
    </xf>
    <xf numFmtId="0" fontId="1" fillId="0" borderId="0" xfId="0" applyFont="1" applyAlignment="1">
      <alignment horizontal="center"/>
    </xf>
    <xf numFmtId="2" fontId="0" fillId="0" borderId="0" xfId="0" applyNumberFormat="1" applyAlignment="1">
      <alignment horizontal="center"/>
    </xf>
    <xf numFmtId="0" fontId="16" fillId="0" borderId="0" xfId="0" applyFont="1" applyFill="1"/>
    <xf numFmtId="0" fontId="8"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10" fillId="0" borderId="0" xfId="0" applyFont="1" applyFill="1" applyBorder="1"/>
    <xf numFmtId="0" fontId="12" fillId="0" borderId="0" xfId="0" applyFont="1" applyFill="1" applyBorder="1"/>
    <xf numFmtId="0" fontId="15" fillId="0" borderId="0" xfId="0" applyFont="1"/>
    <xf numFmtId="0" fontId="15" fillId="0" borderId="0" xfId="0" applyFont="1" applyFill="1"/>
    <xf numFmtId="0" fontId="15" fillId="0" borderId="0" xfId="0" applyFont="1" applyFill="1" applyBorder="1"/>
    <xf numFmtId="0" fontId="15" fillId="0" borderId="0" xfId="0" applyFont="1" applyFill="1" applyBorder="1" applyAlignment="1">
      <alignment horizontal="left"/>
    </xf>
    <xf numFmtId="0" fontId="15" fillId="0" borderId="0" xfId="0" applyFont="1" applyBorder="1"/>
    <xf numFmtId="3" fontId="0" fillId="0" borderId="0" xfId="0" applyNumberFormat="1"/>
    <xf numFmtId="3" fontId="1" fillId="0" borderId="0" xfId="0" applyNumberFormat="1" applyFont="1"/>
    <xf numFmtId="164" fontId="0" fillId="0" borderId="0" xfId="0" applyNumberFormat="1"/>
    <xf numFmtId="0" fontId="0" fillId="0" borderId="0" xfId="0" applyFont="1" applyAlignment="1">
      <alignment horizontal="center"/>
    </xf>
    <xf numFmtId="0" fontId="17" fillId="0" borderId="0" xfId="0" applyFont="1" applyFill="1" applyBorder="1"/>
    <xf numFmtId="0" fontId="2" fillId="0" borderId="0" xfId="0" applyFont="1"/>
    <xf numFmtId="0" fontId="2" fillId="0" borderId="0" xfId="0" applyFont="1" applyAlignment="1">
      <alignment horizontal="left"/>
    </xf>
    <xf numFmtId="0" fontId="2" fillId="0" borderId="0" xfId="0" applyFont="1" applyAlignment="1">
      <alignment horizontal="center"/>
    </xf>
    <xf numFmtId="0" fontId="0" fillId="0" borderId="0" xfId="0" applyFill="1" applyAlignment="1">
      <alignment horizontal="center"/>
    </xf>
    <xf numFmtId="0" fontId="18" fillId="0" borderId="0" xfId="0" applyFont="1"/>
    <xf numFmtId="0" fontId="15" fillId="0" borderId="0" xfId="0" applyFont="1" applyAlignment="1">
      <alignment horizontal="left"/>
    </xf>
    <xf numFmtId="0" fontId="0" fillId="4" borderId="0" xfId="0" applyFill="1"/>
    <xf numFmtId="164" fontId="0" fillId="0" borderId="0" xfId="0" applyNumberFormat="1" applyAlignment="1">
      <alignment horizontal="center"/>
    </xf>
    <xf numFmtId="0" fontId="19" fillId="3"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xf numFmtId="0" fontId="2" fillId="0" borderId="0" xfId="0" applyFont="1" applyFill="1" applyBorder="1"/>
    <xf numFmtId="0" fontId="14" fillId="0" borderId="0" xfId="0" applyFont="1"/>
    <xf numFmtId="0" fontId="12" fillId="0" borderId="0" xfId="0" applyFont="1"/>
    <xf numFmtId="0" fontId="13" fillId="0" borderId="0" xfId="0" applyFont="1" applyFill="1" applyAlignment="1">
      <alignment horizontal="center"/>
    </xf>
    <xf numFmtId="165" fontId="0" fillId="0" borderId="0" xfId="0" applyNumberFormat="1" applyAlignment="1">
      <alignment horizontal="center"/>
    </xf>
    <xf numFmtId="0" fontId="16" fillId="0" borderId="0" xfId="0" applyFont="1"/>
    <xf numFmtId="0" fontId="16" fillId="0" borderId="0" xfId="0" applyFont="1" applyFill="1" applyBorder="1"/>
    <xf numFmtId="0" fontId="12" fillId="0" borderId="0" xfId="0" applyFont="1" applyBorder="1" applyAlignment="1">
      <alignment horizontal="left"/>
    </xf>
    <xf numFmtId="0" fontId="25" fillId="5" borderId="0" xfId="0" applyFont="1" applyFill="1" applyAlignment="1">
      <alignment vertical="top"/>
    </xf>
    <xf numFmtId="0" fontId="0" fillId="6" borderId="0" xfId="0" applyFill="1"/>
    <xf numFmtId="1" fontId="0" fillId="6" borderId="0" xfId="0" applyNumberFormat="1" applyFill="1"/>
    <xf numFmtId="2" fontId="0" fillId="6" borderId="0" xfId="0" applyNumberFormat="1" applyFill="1"/>
    <xf numFmtId="0" fontId="25" fillId="5" borderId="0" xfId="0" applyFont="1" applyFill="1" applyBorder="1" applyAlignment="1" applyProtection="1">
      <alignment vertical="top"/>
      <protection locked="0"/>
    </xf>
    <xf numFmtId="0" fontId="2" fillId="7" borderId="0" xfId="0" applyFont="1" applyFill="1" applyAlignment="1">
      <alignment vertical="top"/>
    </xf>
    <xf numFmtId="0" fontId="3" fillId="7" borderId="0" xfId="0" applyFont="1" applyFill="1" applyAlignment="1">
      <alignment horizontal="center" vertical="top"/>
    </xf>
    <xf numFmtId="0" fontId="4" fillId="7" borderId="0" xfId="0" applyFont="1" applyFill="1" applyAlignment="1">
      <alignment vertical="top"/>
    </xf>
    <xf numFmtId="0" fontId="20" fillId="7" borderId="0" xfId="0" applyFont="1" applyFill="1" applyAlignment="1">
      <alignment vertical="top"/>
    </xf>
    <xf numFmtId="0" fontId="5" fillId="7" borderId="0" xfId="0" applyFont="1" applyFill="1" applyAlignment="1">
      <alignment vertical="top"/>
    </xf>
    <xf numFmtId="0" fontId="3" fillId="7" borderId="0" xfId="0" applyFont="1" applyFill="1" applyBorder="1" applyAlignment="1">
      <alignment horizontal="center" vertical="top"/>
    </xf>
    <xf numFmtId="0" fontId="21" fillId="7" borderId="0" xfId="0" applyFont="1" applyFill="1" applyAlignment="1">
      <alignment vertical="top"/>
    </xf>
    <xf numFmtId="0" fontId="22" fillId="7" borderId="0" xfId="0" applyFont="1" applyFill="1" applyAlignment="1">
      <alignment vertical="top"/>
    </xf>
    <xf numFmtId="0" fontId="0" fillId="7" borderId="0" xfId="0" applyFill="1"/>
    <xf numFmtId="0" fontId="23" fillId="8" borderId="3" xfId="0" applyFont="1" applyFill="1" applyBorder="1" applyAlignment="1">
      <alignment vertical="top"/>
    </xf>
    <xf numFmtId="0" fontId="23" fillId="8" borderId="4" xfId="0" applyFont="1" applyFill="1" applyBorder="1" applyAlignment="1">
      <alignment vertical="top"/>
    </xf>
    <xf numFmtId="0" fontId="24" fillId="8" borderId="4" xfId="0" applyFont="1" applyFill="1" applyBorder="1" applyAlignment="1">
      <alignment vertical="top"/>
    </xf>
    <xf numFmtId="0" fontId="24" fillId="8" borderId="5" xfId="0" applyFont="1" applyFill="1" applyBorder="1" applyAlignment="1">
      <alignment vertical="top"/>
    </xf>
    <xf numFmtId="0" fontId="24" fillId="8" borderId="6" xfId="0" applyFont="1" applyFill="1" applyBorder="1" applyAlignment="1">
      <alignment vertical="top"/>
    </xf>
    <xf numFmtId="0" fontId="24" fillId="8" borderId="7" xfId="0" applyFont="1" applyFill="1" applyBorder="1" applyAlignment="1">
      <alignment vertical="top"/>
    </xf>
    <xf numFmtId="0" fontId="24" fillId="8" borderId="0" xfId="0" applyFont="1" applyFill="1" applyBorder="1" applyAlignment="1">
      <alignment vertical="top"/>
    </xf>
    <xf numFmtId="0" fontId="26" fillId="8" borderId="2" xfId="0" applyFont="1" applyFill="1" applyBorder="1" applyAlignment="1">
      <alignment horizontal="center" vertical="top"/>
    </xf>
    <xf numFmtId="0" fontId="26" fillId="8" borderId="8" xfId="0" applyFont="1" applyFill="1" applyBorder="1" applyAlignment="1">
      <alignment horizontal="center" vertical="top"/>
    </xf>
    <xf numFmtId="0" fontId="23" fillId="8" borderId="0" xfId="0" applyNumberFormat="1" applyFont="1" applyFill="1" applyBorder="1" applyAlignment="1" applyProtection="1">
      <alignment horizontal="center" vertical="top"/>
      <protection locked="0"/>
    </xf>
    <xf numFmtId="0" fontId="23" fillId="8" borderId="0" xfId="0" applyFont="1" applyFill="1" applyBorder="1" applyAlignment="1">
      <alignment horizontal="center" vertical="top"/>
    </xf>
    <xf numFmtId="9" fontId="23" fillId="8" borderId="9" xfId="0" applyNumberFormat="1" applyFont="1" applyFill="1" applyBorder="1" applyAlignment="1">
      <alignment horizontal="center" vertical="top"/>
    </xf>
    <xf numFmtId="0" fontId="23" fillId="8" borderId="11" xfId="0" applyNumberFormat="1" applyFont="1" applyFill="1" applyBorder="1" applyAlignment="1" applyProtection="1">
      <alignment horizontal="center" vertical="top"/>
      <protection locked="0"/>
    </xf>
    <xf numFmtId="0" fontId="23" fillId="8" borderId="11" xfId="0" applyFont="1" applyFill="1" applyBorder="1" applyAlignment="1">
      <alignment horizontal="center" vertical="top"/>
    </xf>
    <xf numFmtId="9" fontId="23" fillId="8" borderId="12" xfId="0" applyNumberFormat="1" applyFont="1" applyFill="1" applyBorder="1" applyAlignment="1">
      <alignment horizontal="center" vertical="top"/>
    </xf>
    <xf numFmtId="0" fontId="27" fillId="7" borderId="0" xfId="0" applyFont="1" applyFill="1" applyAlignment="1">
      <alignment vertical="top"/>
    </xf>
    <xf numFmtId="0" fontId="28" fillId="7" borderId="0" xfId="0" applyFont="1" applyFill="1" applyAlignment="1">
      <alignment vertical="top"/>
    </xf>
    <xf numFmtId="0" fontId="29" fillId="7" borderId="0" xfId="0" applyFont="1" applyFill="1" applyAlignment="1">
      <alignment vertical="top"/>
    </xf>
    <xf numFmtId="0" fontId="30" fillId="7" borderId="0" xfId="0" applyFont="1" applyFill="1" applyAlignment="1">
      <alignment vertical="top"/>
    </xf>
    <xf numFmtId="0" fontId="31" fillId="7" borderId="0" xfId="0" applyFont="1" applyFill="1" applyAlignment="1">
      <alignment vertical="top"/>
    </xf>
    <xf numFmtId="0" fontId="1" fillId="6" borderId="13" xfId="0" applyFont="1" applyFill="1" applyBorder="1"/>
    <xf numFmtId="0" fontId="0" fillId="6" borderId="2" xfId="0" applyFill="1" applyBorder="1"/>
    <xf numFmtId="0" fontId="0" fillId="6" borderId="14" xfId="0" applyFill="1" applyBorder="1"/>
    <xf numFmtId="0" fontId="0" fillId="6" borderId="15" xfId="0" applyFill="1" applyBorder="1"/>
    <xf numFmtId="0" fontId="0" fillId="6" borderId="0" xfId="0" applyFill="1" applyBorder="1"/>
    <xf numFmtId="0" fontId="0" fillId="6" borderId="1" xfId="0" applyFill="1" applyBorder="1"/>
    <xf numFmtId="0" fontId="13" fillId="6" borderId="0" xfId="0" applyFont="1" applyFill="1" applyBorder="1"/>
    <xf numFmtId="3" fontId="0" fillId="6" borderId="15" xfId="0" applyNumberFormat="1" applyFill="1" applyBorder="1"/>
    <xf numFmtId="3" fontId="1" fillId="6" borderId="15" xfId="0" applyNumberFormat="1" applyFont="1" applyFill="1" applyBorder="1"/>
    <xf numFmtId="0" fontId="13" fillId="6" borderId="15" xfId="0" applyFont="1" applyFill="1" applyBorder="1"/>
    <xf numFmtId="0" fontId="0" fillId="6" borderId="16" xfId="0" applyFill="1" applyBorder="1"/>
    <xf numFmtId="0" fontId="0" fillId="6" borderId="17" xfId="0" applyFill="1" applyBorder="1"/>
    <xf numFmtId="0" fontId="0" fillId="6" borderId="18" xfId="0" applyFill="1" applyBorder="1"/>
    <xf numFmtId="0" fontId="0" fillId="6" borderId="0" xfId="0" applyFill="1" applyBorder="1" applyAlignment="1">
      <alignment horizontal="center"/>
    </xf>
    <xf numFmtId="0" fontId="0" fillId="6" borderId="1" xfId="0" applyFill="1" applyBorder="1" applyAlignment="1">
      <alignment horizontal="center"/>
    </xf>
    <xf numFmtId="0" fontId="0" fillId="6" borderId="17" xfId="0" applyFill="1" applyBorder="1" applyAlignment="1">
      <alignment horizontal="center"/>
    </xf>
    <xf numFmtId="0" fontId="0" fillId="6" borderId="18" xfId="0" applyFill="1" applyBorder="1" applyAlignment="1">
      <alignment horizontal="center"/>
    </xf>
    <xf numFmtId="0" fontId="34" fillId="6" borderId="0" xfId="0" applyFont="1" applyFill="1" applyBorder="1" applyAlignment="1">
      <alignment horizontal="center"/>
    </xf>
    <xf numFmtId="0" fontId="34" fillId="6" borderId="1" xfId="0" applyFont="1" applyFill="1" applyBorder="1" applyAlignment="1">
      <alignment horizontal="center"/>
    </xf>
    <xf numFmtId="0" fontId="1" fillId="3" borderId="0" xfId="0" applyFont="1" applyFill="1"/>
    <xf numFmtId="0" fontId="0" fillId="3" borderId="0" xfId="0" applyFill="1"/>
    <xf numFmtId="0" fontId="34" fillId="3" borderId="0" xfId="0" applyFont="1" applyFill="1" applyAlignment="1">
      <alignment horizontal="center"/>
    </xf>
    <xf numFmtId="0" fontId="13" fillId="3" borderId="0" xfId="0" applyFont="1" applyFill="1"/>
    <xf numFmtId="0" fontId="0" fillId="3" borderId="0" xfId="0" applyFill="1" applyAlignment="1">
      <alignment horizontal="center"/>
    </xf>
    <xf numFmtId="0" fontId="13" fillId="3" borderId="0" xfId="0" applyFont="1" applyFill="1" applyBorder="1"/>
    <xf numFmtId="3" fontId="1" fillId="3" borderId="0" xfId="0" applyNumberFormat="1" applyFont="1" applyFill="1"/>
    <xf numFmtId="166" fontId="0" fillId="3" borderId="0" xfId="0" applyNumberFormat="1" applyFill="1"/>
    <xf numFmtId="2" fontId="13" fillId="3" borderId="0" xfId="0" applyNumberFormat="1" applyFont="1" applyFill="1" applyAlignment="1">
      <alignment horizontal="center"/>
    </xf>
    <xf numFmtId="167" fontId="0" fillId="3" borderId="0" xfId="0" applyNumberFormat="1" applyFill="1" applyAlignment="1">
      <alignment horizontal="center"/>
    </xf>
    <xf numFmtId="0" fontId="23" fillId="7" borderId="7" xfId="0" applyNumberFormat="1" applyFont="1" applyFill="1" applyBorder="1" applyAlignment="1">
      <alignment vertical="top"/>
    </xf>
    <xf numFmtId="0" fontId="23" fillId="7" borderId="0" xfId="0" applyNumberFormat="1" applyFont="1" applyFill="1" applyBorder="1" applyAlignment="1">
      <alignment vertical="top"/>
    </xf>
    <xf numFmtId="0" fontId="23" fillId="7" borderId="10" xfId="0" applyNumberFormat="1" applyFont="1" applyFill="1" applyBorder="1" applyAlignment="1">
      <alignment vertical="top"/>
    </xf>
    <xf numFmtId="0" fontId="23" fillId="7" borderId="11" xfId="0" applyNumberFormat="1" applyFont="1" applyFill="1" applyBorder="1" applyAlignment="1">
      <alignment vertical="top"/>
    </xf>
    <xf numFmtId="0" fontId="23" fillId="8" borderId="7" xfId="0" applyNumberFormat="1" applyFont="1" applyFill="1" applyBorder="1" applyAlignment="1">
      <alignment vertical="top"/>
    </xf>
    <xf numFmtId="0" fontId="23" fillId="8" borderId="0" xfId="0" applyNumberFormat="1" applyFont="1" applyFill="1" applyBorder="1" applyAlignment="1">
      <alignment vertical="top"/>
    </xf>
    <xf numFmtId="0" fontId="25" fillId="5" borderId="0" xfId="0" applyFont="1" applyFill="1" applyAlignment="1">
      <alignment horizontal="center" vertical="top"/>
    </xf>
  </cellXfs>
  <cellStyles count="1">
    <cellStyle name="Normal" xfId="0" builtinId="0"/>
  </cellStyles>
  <dxfs count="3">
    <dxf>
      <font>
        <condense val="0"/>
        <extend val="0"/>
        <color indexed="9"/>
      </font>
    </dxf>
    <dxf>
      <font>
        <condense val="0"/>
        <extend val="0"/>
        <color auto="1"/>
      </font>
    </dxf>
    <dxf>
      <font>
        <condense val="0"/>
        <extend val="0"/>
        <color indexed="9"/>
      </font>
    </dxf>
  </dxfs>
  <tableStyles count="0" defaultTableStyle="TableStyleMedium9" defaultPivotStyle="PivotStyleLight16"/>
  <colors>
    <mruColors>
      <color rgb="FFD9D9D9"/>
      <color rgb="FF0099FF"/>
      <color rgb="FF368ED6"/>
      <color rgb="FF0066FF"/>
      <color rgb="FF00B050"/>
      <color rgb="FF009900"/>
      <color rgb="FF0000FF"/>
      <color rgb="FF0092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97301</xdr:colOff>
      <xdr:row>0</xdr:row>
      <xdr:rowOff>60961</xdr:rowOff>
    </xdr:from>
    <xdr:to>
      <xdr:col>16</xdr:col>
      <xdr:colOff>754379</xdr:colOff>
      <xdr:row>2</xdr:row>
      <xdr:rowOff>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14681" y="60961"/>
          <a:ext cx="1236198" cy="845820"/>
        </a:xfrm>
        <a:prstGeom prst="ellipse">
          <a:avLst/>
        </a:prstGeom>
        <a:ln w="63500" cap="rnd">
          <a:solidFill>
            <a:srgbClr val="0099FF"/>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M26" sqref="M26"/>
    </sheetView>
  </sheetViews>
  <sheetFormatPr defaultRowHeight="13.2" x14ac:dyDescent="0.25"/>
  <cols>
    <col min="1" max="1" width="5.5546875" customWidth="1"/>
    <col min="2" max="2" width="24.44140625" customWidth="1"/>
    <col min="3" max="3" width="9" customWidth="1"/>
  </cols>
  <sheetData>
    <row r="1" spans="1:15" x14ac:dyDescent="0.25">
      <c r="A1" s="2" t="s">
        <v>3</v>
      </c>
      <c r="B1" s="2" t="s">
        <v>1</v>
      </c>
      <c r="C1" s="4" t="s">
        <v>18</v>
      </c>
      <c r="D1" s="4" t="s">
        <v>19</v>
      </c>
      <c r="E1" s="4" t="s">
        <v>20</v>
      </c>
      <c r="F1" s="4" t="s">
        <v>21</v>
      </c>
      <c r="G1" s="4" t="s">
        <v>22</v>
      </c>
      <c r="H1" s="4" t="s">
        <v>222</v>
      </c>
      <c r="I1" s="4" t="s">
        <v>223</v>
      </c>
      <c r="J1" s="4" t="s">
        <v>224</v>
      </c>
      <c r="K1" s="4" t="s">
        <v>225</v>
      </c>
      <c r="L1" s="4" t="s">
        <v>226</v>
      </c>
      <c r="M1" s="4" t="s">
        <v>270</v>
      </c>
      <c r="N1" s="4" t="s">
        <v>271</v>
      </c>
      <c r="O1" s="4" t="s">
        <v>272</v>
      </c>
    </row>
    <row r="2" spans="1:15" s="11" customFormat="1" x14ac:dyDescent="0.25">
      <c r="A2" s="6">
        <v>1</v>
      </c>
      <c r="B2" s="19" t="s">
        <v>221</v>
      </c>
      <c r="C2" s="44" t="s">
        <v>236</v>
      </c>
      <c r="D2" s="45" t="s">
        <v>242</v>
      </c>
      <c r="E2" s="35" t="s">
        <v>243</v>
      </c>
      <c r="F2" s="45" t="s">
        <v>237</v>
      </c>
      <c r="G2" s="45" t="s">
        <v>506</v>
      </c>
      <c r="H2" s="35"/>
      <c r="I2" s="35"/>
      <c r="J2" s="35"/>
      <c r="K2" s="35"/>
      <c r="L2" s="35"/>
      <c r="M2" s="35"/>
    </row>
    <row r="3" spans="1:15" x14ac:dyDescent="0.25">
      <c r="A3" s="5">
        <v>2</v>
      </c>
      <c r="B3" s="20" t="s">
        <v>4</v>
      </c>
      <c r="C3" s="35" t="s">
        <v>244</v>
      </c>
      <c r="D3" s="35" t="s">
        <v>247</v>
      </c>
      <c r="E3" s="35" t="s">
        <v>248</v>
      </c>
      <c r="F3" s="35" t="s">
        <v>245</v>
      </c>
      <c r="G3" s="35" t="s">
        <v>478</v>
      </c>
      <c r="H3" s="35" t="s">
        <v>246</v>
      </c>
      <c r="I3" s="35" t="s">
        <v>479</v>
      </c>
      <c r="J3" s="35" t="s">
        <v>480</v>
      </c>
      <c r="K3" s="35"/>
      <c r="L3" s="35"/>
      <c r="M3" s="35"/>
    </row>
    <row r="4" spans="1:15" x14ac:dyDescent="0.25">
      <c r="A4" s="5">
        <v>3</v>
      </c>
      <c r="B4" s="34" t="s">
        <v>235</v>
      </c>
      <c r="C4" s="46" t="s">
        <v>71</v>
      </c>
      <c r="D4" s="46" t="s">
        <v>465</v>
      </c>
      <c r="E4" s="46" t="s">
        <v>70</v>
      </c>
      <c r="F4" s="35" t="s">
        <v>273</v>
      </c>
      <c r="G4" s="47" t="s">
        <v>472</v>
      </c>
      <c r="H4" s="47" t="s">
        <v>328</v>
      </c>
      <c r="I4" s="47" t="s">
        <v>536</v>
      </c>
      <c r="J4" s="35" t="s">
        <v>537</v>
      </c>
      <c r="K4" s="35"/>
      <c r="L4" s="35"/>
      <c r="M4" s="35"/>
    </row>
    <row r="5" spans="1:15" x14ac:dyDescent="0.25">
      <c r="A5" s="5">
        <f>SUM(A4+1)</f>
        <v>4</v>
      </c>
      <c r="B5" s="21" t="s">
        <v>5</v>
      </c>
      <c r="C5" s="46" t="s">
        <v>23</v>
      </c>
      <c r="D5" s="46" t="s">
        <v>369</v>
      </c>
      <c r="E5" s="46" t="s">
        <v>370</v>
      </c>
      <c r="F5" s="46" t="s">
        <v>371</v>
      </c>
      <c r="G5" s="46" t="s">
        <v>24</v>
      </c>
      <c r="H5" s="46" t="s">
        <v>48</v>
      </c>
      <c r="I5" s="46" t="s">
        <v>372</v>
      </c>
      <c r="J5" s="46" t="s">
        <v>373</v>
      </c>
      <c r="K5" s="46"/>
      <c r="L5" s="46"/>
      <c r="M5" s="35"/>
    </row>
    <row r="6" spans="1:15" x14ac:dyDescent="0.25">
      <c r="A6" s="5">
        <v>5</v>
      </c>
      <c r="B6" s="21" t="s">
        <v>428</v>
      </c>
      <c r="C6" s="35" t="s">
        <v>429</v>
      </c>
      <c r="D6" s="35" t="s">
        <v>430</v>
      </c>
      <c r="E6" s="46" t="s">
        <v>431</v>
      </c>
      <c r="F6" s="47" t="s">
        <v>432</v>
      </c>
      <c r="G6" s="47" t="s">
        <v>433</v>
      </c>
      <c r="H6" s="35"/>
      <c r="I6" s="35"/>
      <c r="J6" s="46"/>
      <c r="K6" s="46"/>
      <c r="L6" s="46"/>
      <c r="M6" s="35"/>
    </row>
    <row r="7" spans="1:15" x14ac:dyDescent="0.25">
      <c r="A7" s="5">
        <v>6</v>
      </c>
      <c r="B7" s="53" t="s">
        <v>486</v>
      </c>
      <c r="C7" s="46" t="s">
        <v>482</v>
      </c>
      <c r="D7" s="46" t="s">
        <v>493</v>
      </c>
      <c r="E7" s="46" t="s">
        <v>483</v>
      </c>
      <c r="F7" s="46" t="s">
        <v>484</v>
      </c>
      <c r="G7" s="46" t="s">
        <v>527</v>
      </c>
      <c r="H7" s="47" t="s">
        <v>492</v>
      </c>
      <c r="I7" s="46" t="s">
        <v>488</v>
      </c>
      <c r="J7" s="46" t="s">
        <v>489</v>
      </c>
      <c r="K7" s="46" t="s">
        <v>498</v>
      </c>
      <c r="M7" s="35"/>
    </row>
    <row r="8" spans="1:15" x14ac:dyDescent="0.25">
      <c r="A8" s="5">
        <v>7</v>
      </c>
      <c r="B8" s="21" t="s">
        <v>234</v>
      </c>
      <c r="C8" s="46" t="s">
        <v>26</v>
      </c>
      <c r="D8" s="46" t="s">
        <v>252</v>
      </c>
      <c r="E8" s="46" t="s">
        <v>525</v>
      </c>
      <c r="F8" s="47" t="s">
        <v>189</v>
      </c>
      <c r="G8" s="47" t="s">
        <v>253</v>
      </c>
      <c r="H8" s="47" t="s">
        <v>412</v>
      </c>
      <c r="I8" s="47" t="s">
        <v>413</v>
      </c>
      <c r="J8" s="35"/>
      <c r="K8" s="35"/>
      <c r="L8" s="35"/>
      <c r="M8" s="35"/>
    </row>
    <row r="9" spans="1:15" x14ac:dyDescent="0.25">
      <c r="A9" s="5">
        <f t="shared" ref="A9:A30" si="0">SUM((A8+1))</f>
        <v>8</v>
      </c>
      <c r="B9" s="23" t="s">
        <v>25</v>
      </c>
      <c r="C9" s="46" t="s">
        <v>32</v>
      </c>
      <c r="D9" s="46" t="s">
        <v>62</v>
      </c>
      <c r="E9" s="46" t="s">
        <v>122</v>
      </c>
      <c r="F9" s="46" t="s">
        <v>63</v>
      </c>
      <c r="G9" s="46" t="s">
        <v>376</v>
      </c>
      <c r="H9" s="47" t="s">
        <v>353</v>
      </c>
      <c r="I9" s="47" t="s">
        <v>354</v>
      </c>
      <c r="J9" s="47" t="s">
        <v>355</v>
      </c>
      <c r="K9" s="47" t="s">
        <v>356</v>
      </c>
      <c r="L9" s="47" t="s">
        <v>357</v>
      </c>
      <c r="M9" s="47" t="s">
        <v>358</v>
      </c>
      <c r="N9" s="8" t="s">
        <v>490</v>
      </c>
      <c r="O9" s="8" t="s">
        <v>502</v>
      </c>
    </row>
    <row r="10" spans="1:15" x14ac:dyDescent="0.25">
      <c r="A10" s="5">
        <f t="shared" si="0"/>
        <v>9</v>
      </c>
      <c r="B10" s="24" t="s">
        <v>69</v>
      </c>
      <c r="C10" s="46" t="s">
        <v>443</v>
      </c>
      <c r="D10" s="46" t="s">
        <v>274</v>
      </c>
      <c r="E10" s="47" t="s">
        <v>275</v>
      </c>
      <c r="F10" s="47" t="s">
        <v>276</v>
      </c>
      <c r="G10" s="47" t="s">
        <v>277</v>
      </c>
      <c r="H10" s="47" t="s">
        <v>278</v>
      </c>
      <c r="I10" s="47" t="s">
        <v>279</v>
      </c>
      <c r="J10" s="47" t="s">
        <v>280</v>
      </c>
      <c r="K10" s="47" t="s">
        <v>281</v>
      </c>
      <c r="L10" s="47" t="s">
        <v>282</v>
      </c>
      <c r="M10" s="35"/>
    </row>
    <row r="11" spans="1:15" x14ac:dyDescent="0.25">
      <c r="A11" s="5">
        <f t="shared" si="0"/>
        <v>10</v>
      </c>
      <c r="B11" s="20" t="s">
        <v>227</v>
      </c>
      <c r="C11" s="35" t="s">
        <v>47</v>
      </c>
      <c r="D11" s="35" t="s">
        <v>101</v>
      </c>
      <c r="E11" s="47" t="s">
        <v>257</v>
      </c>
      <c r="F11" s="47" t="s">
        <v>500</v>
      </c>
      <c r="G11" s="35"/>
      <c r="H11" s="35"/>
      <c r="I11" s="35"/>
      <c r="J11" s="35"/>
      <c r="K11" s="35"/>
      <c r="L11" s="35"/>
      <c r="M11" s="35"/>
    </row>
    <row r="12" spans="1:15" x14ac:dyDescent="0.25">
      <c r="A12" s="5">
        <f t="shared" si="0"/>
        <v>11</v>
      </c>
      <c r="B12" s="21" t="s">
        <v>6</v>
      </c>
      <c r="C12" s="46" t="s">
        <v>319</v>
      </c>
      <c r="D12" s="46" t="s">
        <v>320</v>
      </c>
      <c r="E12" s="46" t="s">
        <v>72</v>
      </c>
      <c r="F12" s="47" t="s">
        <v>51</v>
      </c>
      <c r="G12" s="46" t="s">
        <v>427</v>
      </c>
      <c r="H12" s="46" t="s">
        <v>321</v>
      </c>
      <c r="I12" s="46" t="s">
        <v>322</v>
      </c>
      <c r="J12" s="46" t="s">
        <v>323</v>
      </c>
      <c r="K12" s="35" t="s">
        <v>324</v>
      </c>
      <c r="L12" s="35" t="s">
        <v>325</v>
      </c>
      <c r="M12" s="35" t="s">
        <v>326</v>
      </c>
      <c r="N12" s="11" t="s">
        <v>407</v>
      </c>
      <c r="O12" s="11" t="s">
        <v>327</v>
      </c>
    </row>
    <row r="13" spans="1:15" x14ac:dyDescent="0.25">
      <c r="A13" s="5">
        <f t="shared" si="0"/>
        <v>12</v>
      </c>
      <c r="B13" s="21" t="s">
        <v>434</v>
      </c>
      <c r="C13" s="35" t="s">
        <v>438</v>
      </c>
      <c r="D13" s="35" t="s">
        <v>448</v>
      </c>
      <c r="E13" s="35" t="s">
        <v>439</v>
      </c>
      <c r="F13" s="46" t="s">
        <v>435</v>
      </c>
      <c r="G13" s="47" t="s">
        <v>436</v>
      </c>
      <c r="H13" s="47" t="s">
        <v>437</v>
      </c>
      <c r="I13" s="47" t="s">
        <v>503</v>
      </c>
      <c r="J13" s="35"/>
      <c r="K13" s="35"/>
      <c r="L13" s="35"/>
      <c r="M13" s="35"/>
      <c r="N13" s="11"/>
      <c r="O13" s="11"/>
    </row>
    <row r="14" spans="1:15" x14ac:dyDescent="0.25">
      <c r="A14" s="5">
        <f t="shared" si="0"/>
        <v>13</v>
      </c>
      <c r="B14" s="21" t="s">
        <v>228</v>
      </c>
      <c r="C14" s="35" t="s">
        <v>73</v>
      </c>
      <c r="D14" s="35" t="s">
        <v>74</v>
      </c>
      <c r="E14" s="35" t="s">
        <v>75</v>
      </c>
      <c r="F14" s="35" t="s">
        <v>76</v>
      </c>
      <c r="G14" s="35" t="s">
        <v>77</v>
      </c>
      <c r="H14" s="35" t="s">
        <v>481</v>
      </c>
      <c r="I14" s="35" t="s">
        <v>78</v>
      </c>
      <c r="J14" s="35" t="s">
        <v>79</v>
      </c>
      <c r="K14" s="35" t="s">
        <v>334</v>
      </c>
      <c r="L14" s="35" t="s">
        <v>80</v>
      </c>
      <c r="M14" s="35" t="s">
        <v>238</v>
      </c>
    </row>
    <row r="15" spans="1:15" x14ac:dyDescent="0.25">
      <c r="A15" s="5">
        <f t="shared" si="0"/>
        <v>14</v>
      </c>
      <c r="B15" s="20" t="s">
        <v>230</v>
      </c>
      <c r="C15" s="46" t="s">
        <v>65</v>
      </c>
      <c r="D15" s="46" t="s">
        <v>66</v>
      </c>
      <c r="E15" s="46" t="s">
        <v>268</v>
      </c>
      <c r="F15" s="46" t="s">
        <v>269</v>
      </c>
      <c r="G15" s="46" t="s">
        <v>374</v>
      </c>
      <c r="H15" s="46" t="s">
        <v>539</v>
      </c>
      <c r="I15" s="46" t="s">
        <v>528</v>
      </c>
      <c r="J15" s="35"/>
      <c r="K15" s="35"/>
      <c r="L15" s="35"/>
      <c r="M15" s="35"/>
    </row>
    <row r="16" spans="1:15" x14ac:dyDescent="0.25">
      <c r="A16" s="5">
        <f t="shared" si="0"/>
        <v>15</v>
      </c>
      <c r="B16" s="21" t="s">
        <v>7</v>
      </c>
      <c r="C16" s="46" t="s">
        <v>39</v>
      </c>
      <c r="D16" s="46" t="s">
        <v>40</v>
      </c>
      <c r="E16" s="46" t="s">
        <v>27</v>
      </c>
      <c r="F16" s="46" t="s">
        <v>86</v>
      </c>
      <c r="G16" s="46" t="s">
        <v>28</v>
      </c>
      <c r="H16" s="46" t="s">
        <v>402</v>
      </c>
      <c r="I16" s="46"/>
      <c r="J16" s="35"/>
      <c r="K16" s="35"/>
      <c r="L16" s="35"/>
      <c r="M16" s="35"/>
    </row>
    <row r="17" spans="1:17" x14ac:dyDescent="0.25">
      <c r="A17" s="5">
        <f t="shared" si="0"/>
        <v>16</v>
      </c>
      <c r="B17" s="20" t="s">
        <v>8</v>
      </c>
      <c r="C17" s="46" t="s">
        <v>239</v>
      </c>
      <c r="D17" s="46" t="s">
        <v>52</v>
      </c>
      <c r="E17" s="46" t="s">
        <v>386</v>
      </c>
      <c r="F17" s="46" t="s">
        <v>53</v>
      </c>
      <c r="G17" s="46" t="s">
        <v>54</v>
      </c>
      <c r="H17" s="46" t="s">
        <v>258</v>
      </c>
      <c r="I17" s="46" t="s">
        <v>259</v>
      </c>
      <c r="J17" s="46" t="s">
        <v>260</v>
      </c>
      <c r="K17" s="46" t="s">
        <v>261</v>
      </c>
      <c r="L17" s="46" t="s">
        <v>529</v>
      </c>
      <c r="M17" s="46" t="s">
        <v>530</v>
      </c>
      <c r="N17" s="46" t="s">
        <v>531</v>
      </c>
      <c r="O17" s="46" t="s">
        <v>532</v>
      </c>
      <c r="P17" s="35"/>
      <c r="Q17" s="35"/>
    </row>
    <row r="18" spans="1:17" x14ac:dyDescent="0.25">
      <c r="A18" s="5">
        <f t="shared" si="0"/>
        <v>17</v>
      </c>
      <c r="B18" s="21" t="s">
        <v>487</v>
      </c>
      <c r="C18" s="46" t="s">
        <v>123</v>
      </c>
      <c r="D18" s="46" t="s">
        <v>124</v>
      </c>
      <c r="E18" s="46" t="s">
        <v>389</v>
      </c>
      <c r="F18" s="46" t="s">
        <v>249</v>
      </c>
      <c r="G18" s="46" t="s">
        <v>125</v>
      </c>
      <c r="H18" s="46" t="s">
        <v>126</v>
      </c>
      <c r="I18" s="46" t="s">
        <v>240</v>
      </c>
      <c r="J18" s="46" t="s">
        <v>241</v>
      </c>
      <c r="K18" s="46" t="s">
        <v>250</v>
      </c>
      <c r="L18" s="46" t="s">
        <v>251</v>
      </c>
      <c r="M18" s="46" t="s">
        <v>396</v>
      </c>
    </row>
    <row r="19" spans="1:17" x14ac:dyDescent="0.25">
      <c r="A19" s="5">
        <f t="shared" si="0"/>
        <v>18</v>
      </c>
      <c r="B19" s="21" t="s">
        <v>9</v>
      </c>
      <c r="C19" s="46" t="s">
        <v>377</v>
      </c>
      <c r="D19" s="46" t="s">
        <v>378</v>
      </c>
      <c r="E19" s="46" t="s">
        <v>55</v>
      </c>
      <c r="F19" s="46" t="s">
        <v>56</v>
      </c>
      <c r="G19" s="47" t="s">
        <v>397</v>
      </c>
      <c r="H19" s="47" t="s">
        <v>380</v>
      </c>
      <c r="I19" s="47" t="s">
        <v>404</v>
      </c>
      <c r="J19" s="35" t="s">
        <v>497</v>
      </c>
      <c r="K19" s="35"/>
      <c r="L19" s="35"/>
      <c r="M19" s="35"/>
    </row>
    <row r="20" spans="1:17" x14ac:dyDescent="0.25">
      <c r="A20" s="5">
        <f t="shared" si="0"/>
        <v>19</v>
      </c>
      <c r="B20" s="23" t="s">
        <v>61</v>
      </c>
      <c r="C20" s="46" t="s">
        <v>398</v>
      </c>
      <c r="D20" s="46" t="s">
        <v>399</v>
      </c>
      <c r="E20" s="47" t="s">
        <v>400</v>
      </c>
      <c r="F20" s="47" t="s">
        <v>401</v>
      </c>
      <c r="G20" s="47"/>
      <c r="H20" s="47"/>
      <c r="I20" s="47"/>
      <c r="J20" s="47"/>
      <c r="K20" s="35"/>
      <c r="L20" s="35"/>
      <c r="M20" s="35"/>
    </row>
    <row r="21" spans="1:17" x14ac:dyDescent="0.25">
      <c r="A21" s="5">
        <f t="shared" si="0"/>
        <v>20</v>
      </c>
      <c r="B21" s="21" t="s">
        <v>233</v>
      </c>
      <c r="C21" s="46" t="s">
        <v>42</v>
      </c>
      <c r="D21" s="46" t="s">
        <v>43</v>
      </c>
      <c r="E21" s="46" t="s">
        <v>46</v>
      </c>
      <c r="F21" s="46" t="s">
        <v>44</v>
      </c>
      <c r="G21" s="46" t="s">
        <v>45</v>
      </c>
      <c r="H21" s="47" t="s">
        <v>84</v>
      </c>
      <c r="I21" s="47" t="s">
        <v>85</v>
      </c>
      <c r="J21" s="35"/>
      <c r="K21" s="35"/>
      <c r="L21" s="35"/>
      <c r="M21" s="35"/>
    </row>
    <row r="22" spans="1:17" x14ac:dyDescent="0.25">
      <c r="A22" s="5">
        <f t="shared" si="0"/>
        <v>21</v>
      </c>
      <c r="B22" s="21" t="s">
        <v>10</v>
      </c>
      <c r="C22" s="46" t="s">
        <v>32</v>
      </c>
      <c r="D22" s="46" t="s">
        <v>507</v>
      </c>
      <c r="E22" s="46" t="s">
        <v>332</v>
      </c>
      <c r="F22" s="46" t="s">
        <v>333</v>
      </c>
      <c r="G22" s="46" t="s">
        <v>329</v>
      </c>
      <c r="H22" s="46" t="s">
        <v>331</v>
      </c>
      <c r="I22" s="46" t="s">
        <v>81</v>
      </c>
      <c r="J22" s="46" t="s">
        <v>82</v>
      </c>
      <c r="K22" s="46" t="s">
        <v>83</v>
      </c>
      <c r="L22" s="46" t="s">
        <v>100</v>
      </c>
      <c r="M22" s="35"/>
    </row>
    <row r="23" spans="1:17" x14ac:dyDescent="0.25">
      <c r="A23" s="5">
        <f t="shared" si="0"/>
        <v>22</v>
      </c>
      <c r="B23" s="21" t="s">
        <v>229</v>
      </c>
      <c r="C23" s="35" t="s">
        <v>256</v>
      </c>
      <c r="D23" s="35" t="s">
        <v>254</v>
      </c>
      <c r="E23" s="35" t="s">
        <v>255</v>
      </c>
      <c r="F23" s="46" t="s">
        <v>501</v>
      </c>
      <c r="G23" s="47" t="s">
        <v>526</v>
      </c>
      <c r="H23" s="47" t="s">
        <v>49</v>
      </c>
      <c r="I23" s="47" t="s">
        <v>551</v>
      </c>
      <c r="J23" s="47" t="s">
        <v>545</v>
      </c>
      <c r="K23" s="35" t="s">
        <v>544</v>
      </c>
      <c r="L23" s="35" t="s">
        <v>552</v>
      </c>
      <c r="M23" s="35" t="s">
        <v>546</v>
      </c>
      <c r="N23" s="35" t="s">
        <v>544</v>
      </c>
    </row>
    <row r="24" spans="1:17" x14ac:dyDescent="0.25">
      <c r="A24" s="5">
        <f t="shared" si="0"/>
        <v>23</v>
      </c>
      <c r="B24" s="21" t="s">
        <v>11</v>
      </c>
      <c r="C24" s="46" t="s">
        <v>266</v>
      </c>
      <c r="D24" s="46" t="s">
        <v>267</v>
      </c>
      <c r="E24" s="46" t="s">
        <v>50</v>
      </c>
      <c r="F24" s="46" t="s">
        <v>359</v>
      </c>
      <c r="G24" s="46" t="s">
        <v>387</v>
      </c>
      <c r="H24" s="46" t="s">
        <v>473</v>
      </c>
      <c r="I24" s="46" t="s">
        <v>511</v>
      </c>
      <c r="J24" s="46" t="s">
        <v>510</v>
      </c>
      <c r="K24" s="46" t="s">
        <v>57</v>
      </c>
      <c r="L24" s="46" t="s">
        <v>58</v>
      </c>
      <c r="M24" s="46" t="s">
        <v>67</v>
      </c>
    </row>
    <row r="25" spans="1:17" x14ac:dyDescent="0.25">
      <c r="A25" s="5">
        <f t="shared" si="0"/>
        <v>24</v>
      </c>
      <c r="B25" s="21" t="s">
        <v>12</v>
      </c>
      <c r="C25" s="46" t="s">
        <v>30</v>
      </c>
      <c r="D25" s="46" t="s">
        <v>31</v>
      </c>
      <c r="E25" s="46" t="s">
        <v>29</v>
      </c>
      <c r="F25" s="46" t="s">
        <v>403</v>
      </c>
      <c r="G25" s="46" t="s">
        <v>367</v>
      </c>
      <c r="H25" s="46" t="s">
        <v>368</v>
      </c>
      <c r="I25" s="35" t="s">
        <v>508</v>
      </c>
      <c r="J25" s="35"/>
      <c r="K25" s="35"/>
      <c r="L25" s="35"/>
      <c r="M25" s="35"/>
    </row>
    <row r="26" spans="1:17" x14ac:dyDescent="0.25">
      <c r="A26" s="5">
        <f t="shared" si="0"/>
        <v>25</v>
      </c>
      <c r="B26" s="21" t="s">
        <v>13</v>
      </c>
      <c r="C26" s="46" t="s">
        <v>440</v>
      </c>
      <c r="D26" s="46" t="s">
        <v>441</v>
      </c>
      <c r="E26" s="46" t="s">
        <v>64</v>
      </c>
      <c r="F26" s="46" t="s">
        <v>411</v>
      </c>
      <c r="G26" s="46" t="s">
        <v>409</v>
      </c>
      <c r="H26" s="47" t="s">
        <v>408</v>
      </c>
      <c r="I26" s="47" t="s">
        <v>410</v>
      </c>
      <c r="J26" s="47" t="s">
        <v>442</v>
      </c>
      <c r="K26" s="47"/>
      <c r="L26" s="35"/>
      <c r="M26" s="35"/>
    </row>
    <row r="27" spans="1:17" x14ac:dyDescent="0.25">
      <c r="A27" s="5">
        <f t="shared" si="0"/>
        <v>26</v>
      </c>
      <c r="B27" s="20" t="s">
        <v>187</v>
      </c>
      <c r="C27" s="46" t="s">
        <v>188</v>
      </c>
      <c r="D27" s="46" t="s">
        <v>468</v>
      </c>
      <c r="E27" s="46" t="s">
        <v>467</v>
      </c>
      <c r="F27" s="47" t="s">
        <v>375</v>
      </c>
      <c r="G27" s="47" t="s">
        <v>388</v>
      </c>
      <c r="H27" s="47" t="s">
        <v>533</v>
      </c>
      <c r="I27" s="47" t="s">
        <v>534</v>
      </c>
      <c r="J27" s="47"/>
      <c r="K27" s="35"/>
      <c r="L27" s="35"/>
      <c r="M27" s="35"/>
    </row>
    <row r="28" spans="1:17" x14ac:dyDescent="0.25">
      <c r="A28" s="5">
        <f t="shared" si="0"/>
        <v>27</v>
      </c>
      <c r="B28" s="20" t="s">
        <v>505</v>
      </c>
      <c r="C28" s="46" t="s">
        <v>509</v>
      </c>
      <c r="D28" s="46" t="s">
        <v>514</v>
      </c>
      <c r="E28" s="46" t="s">
        <v>512</v>
      </c>
      <c r="F28" s="47" t="s">
        <v>515</v>
      </c>
      <c r="G28" s="46" t="s">
        <v>513</v>
      </c>
      <c r="H28" s="46" t="s">
        <v>516</v>
      </c>
      <c r="I28" s="46" t="s">
        <v>517</v>
      </c>
      <c r="J28" s="35" t="s">
        <v>522</v>
      </c>
      <c r="K28" s="35" t="s">
        <v>523</v>
      </c>
      <c r="L28" s="35" t="s">
        <v>518</v>
      </c>
      <c r="M28" s="35" t="s">
        <v>521</v>
      </c>
      <c r="N28" s="35" t="s">
        <v>519</v>
      </c>
      <c r="O28" s="35" t="s">
        <v>520</v>
      </c>
    </row>
    <row r="29" spans="1:17" x14ac:dyDescent="0.25">
      <c r="A29" s="5">
        <f t="shared" si="0"/>
        <v>28</v>
      </c>
      <c r="B29" s="24" t="s">
        <v>232</v>
      </c>
      <c r="C29" s="46" t="s">
        <v>262</v>
      </c>
      <c r="D29" s="46" t="s">
        <v>390</v>
      </c>
      <c r="E29" s="46" t="s">
        <v>263</v>
      </c>
      <c r="F29" s="47" t="s">
        <v>379</v>
      </c>
      <c r="G29" s="47" t="s">
        <v>265</v>
      </c>
      <c r="H29" s="47" t="s">
        <v>264</v>
      </c>
      <c r="I29" s="35" t="s">
        <v>474</v>
      </c>
      <c r="J29" s="35" t="s">
        <v>475</v>
      </c>
      <c r="K29" s="35" t="s">
        <v>466</v>
      </c>
      <c r="L29" s="35"/>
      <c r="M29" s="35"/>
    </row>
    <row r="30" spans="1:17" ht="13.8" x14ac:dyDescent="0.25">
      <c r="A30" s="5">
        <f t="shared" si="0"/>
        <v>29</v>
      </c>
      <c r="B30" s="22">
        <v>911</v>
      </c>
      <c r="C30" s="46" t="s">
        <v>60</v>
      </c>
      <c r="D30" s="46" t="s">
        <v>394</v>
      </c>
      <c r="E30" s="46" t="s">
        <v>395</v>
      </c>
      <c r="F30" s="46" t="s">
        <v>68</v>
      </c>
      <c r="G30" s="47" t="s">
        <v>59</v>
      </c>
      <c r="H30" s="46" t="s">
        <v>491</v>
      </c>
      <c r="I30" s="46"/>
      <c r="J30" s="35"/>
      <c r="K30" s="35"/>
      <c r="L30" s="48"/>
      <c r="M30" s="49"/>
      <c r="N30" s="39"/>
      <c r="O30" s="39"/>
      <c r="P30" s="39"/>
      <c r="Q30" s="39"/>
    </row>
    <row r="31" spans="1:17" x14ac:dyDescent="0.25">
      <c r="A31" s="54"/>
      <c r="B31" s="52"/>
      <c r="N31" s="11"/>
      <c r="O31" s="11"/>
      <c r="P31" s="11"/>
      <c r="Q31" s="11"/>
    </row>
    <row r="32" spans="1:17" x14ac:dyDescent="0.25">
      <c r="K32" s="11" t="s">
        <v>330</v>
      </c>
    </row>
  </sheetData>
  <phoneticPr fontId="11"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
  <sheetViews>
    <sheetView tabSelected="1" zoomScaleNormal="100" workbookViewId="0">
      <selection activeCell="N6" sqref="N6"/>
    </sheetView>
  </sheetViews>
  <sheetFormatPr defaultColWidth="9.109375" defaultRowHeight="13.2" x14ac:dyDescent="0.25"/>
  <cols>
    <col min="1" max="1" width="12.44140625" style="1" customWidth="1"/>
    <col min="2" max="2" width="9.109375" style="1"/>
    <col min="3" max="3" width="23.44140625" style="1" customWidth="1"/>
    <col min="4" max="6" width="8.33203125" style="1" customWidth="1"/>
    <col min="7" max="7" width="7.6640625" style="1" customWidth="1"/>
    <col min="8" max="8" width="7.5546875" style="1" customWidth="1"/>
    <col min="9" max="9" width="7.33203125" style="1" customWidth="1"/>
    <col min="10" max="10" width="7.5546875" style="1" customWidth="1"/>
    <col min="11" max="11" width="7.33203125" style="1" customWidth="1"/>
    <col min="12" max="12" width="8.21875" style="1" customWidth="1"/>
    <col min="13" max="13" width="7.88671875" style="1" customWidth="1"/>
    <col min="14" max="14" width="7.5546875" style="1" customWidth="1"/>
    <col min="15" max="15" width="7.6640625" style="1" customWidth="1"/>
    <col min="16" max="16" width="8.44140625" style="1" customWidth="1"/>
    <col min="17" max="17" width="12" style="1" customWidth="1"/>
    <col min="18" max="19" width="9.109375" style="1"/>
    <col min="20" max="20" width="10.21875" style="1" customWidth="1"/>
    <col min="21" max="16384" width="9.109375" style="1"/>
  </cols>
  <sheetData>
    <row r="1" spans="1:17" ht="39.6" customHeight="1" x14ac:dyDescent="0.25">
      <c r="A1" s="85" t="s">
        <v>220</v>
      </c>
      <c r="B1" s="84"/>
      <c r="C1" s="84"/>
      <c r="D1" s="84"/>
      <c r="E1" s="84"/>
      <c r="F1" s="60"/>
      <c r="G1" s="60"/>
      <c r="H1" s="60"/>
      <c r="I1" s="60"/>
      <c r="J1" s="61"/>
      <c r="K1" s="60"/>
      <c r="L1" s="60"/>
      <c r="M1" s="60"/>
      <c r="N1" s="60"/>
      <c r="O1" s="60"/>
      <c r="P1" s="60"/>
      <c r="Q1" s="60"/>
    </row>
    <row r="2" spans="1:17" ht="31.8" customHeight="1" x14ac:dyDescent="0.25">
      <c r="A2" s="86" t="s">
        <v>0</v>
      </c>
      <c r="B2" s="87"/>
      <c r="C2" s="87"/>
      <c r="D2" s="87"/>
      <c r="E2" s="87"/>
      <c r="F2" s="88"/>
      <c r="G2" s="88"/>
      <c r="H2" s="60"/>
      <c r="I2" s="60"/>
      <c r="J2" s="60"/>
      <c r="K2" s="60"/>
      <c r="L2" s="60"/>
      <c r="M2" s="60"/>
      <c r="N2" s="60"/>
      <c r="O2" s="60"/>
      <c r="P2" s="60"/>
      <c r="Q2" s="60"/>
    </row>
    <row r="3" spans="1:17" ht="5.4" customHeight="1" x14ac:dyDescent="0.25">
      <c r="A3" s="62"/>
      <c r="B3" s="60"/>
      <c r="C3" s="60"/>
      <c r="D3" s="60"/>
      <c r="E3" s="60"/>
      <c r="F3" s="60"/>
      <c r="G3" s="60"/>
      <c r="H3" s="60"/>
      <c r="I3" s="60"/>
      <c r="J3" s="60"/>
      <c r="K3" s="60"/>
      <c r="L3" s="60"/>
      <c r="M3" s="60"/>
      <c r="N3" s="60"/>
      <c r="O3" s="60"/>
      <c r="P3" s="60"/>
      <c r="Q3" s="60"/>
    </row>
    <row r="4" spans="1:17" ht="3" customHeight="1" x14ac:dyDescent="0.25">
      <c r="A4" s="63"/>
      <c r="B4" s="63"/>
      <c r="C4" s="63"/>
      <c r="D4" s="63"/>
      <c r="E4" s="63"/>
      <c r="F4" s="63"/>
      <c r="G4" s="63"/>
      <c r="H4" s="63"/>
      <c r="I4" s="63"/>
      <c r="J4" s="63"/>
      <c r="K4" s="63"/>
      <c r="L4" s="63"/>
      <c r="M4" s="63"/>
      <c r="N4" s="63"/>
      <c r="O4" s="63"/>
      <c r="P4" s="63"/>
      <c r="Q4" s="63"/>
    </row>
    <row r="5" spans="1:17" ht="3.6" customHeight="1" x14ac:dyDescent="0.25">
      <c r="A5" s="64"/>
      <c r="B5" s="60"/>
      <c r="C5" s="60"/>
      <c r="D5" s="60"/>
      <c r="E5" s="60"/>
      <c r="F5" s="60"/>
      <c r="G5" s="60"/>
      <c r="H5" s="60"/>
      <c r="I5" s="60"/>
      <c r="J5" s="60"/>
      <c r="K5" s="60"/>
      <c r="L5" s="60"/>
      <c r="M5" s="60"/>
      <c r="N5" s="60" t="s">
        <v>499</v>
      </c>
      <c r="O5" s="65" t="s">
        <v>499</v>
      </c>
      <c r="P5" s="60"/>
      <c r="Q5" s="60"/>
    </row>
    <row r="6" spans="1:17" ht="16.2" customHeight="1" x14ac:dyDescent="0.25">
      <c r="A6" s="64"/>
      <c r="B6" s="60"/>
      <c r="C6" s="60"/>
      <c r="D6" s="60"/>
      <c r="E6" s="60"/>
      <c r="F6" s="60"/>
      <c r="G6" s="60"/>
      <c r="H6" s="60"/>
      <c r="I6" s="60"/>
      <c r="J6" s="60"/>
      <c r="K6" s="60"/>
      <c r="L6" s="60"/>
      <c r="M6" s="60"/>
      <c r="N6" s="60" t="s">
        <v>330</v>
      </c>
      <c r="O6" s="60" t="s">
        <v>499</v>
      </c>
      <c r="P6" s="60"/>
      <c r="Q6" s="59">
        <v>1</v>
      </c>
    </row>
    <row r="7" spans="1:17" ht="15" x14ac:dyDescent="0.25">
      <c r="A7" s="66" t="s">
        <v>1</v>
      </c>
      <c r="B7" s="124" t="str">
        <f>VLOOKUP(Q6,'Code Sheet'!A1:G34,2,TRUE)</f>
        <v>Agri-Civic Center</v>
      </c>
      <c r="C7" s="124"/>
      <c r="D7" s="124"/>
      <c r="E7" s="60"/>
      <c r="F7" s="60"/>
      <c r="G7" s="60"/>
      <c r="H7" s="66" t="s">
        <v>41</v>
      </c>
      <c r="I7" s="67"/>
      <c r="J7" s="55">
        <v>2019</v>
      </c>
      <c r="K7" s="60"/>
      <c r="L7" s="60"/>
      <c r="M7" s="60" t="s">
        <v>535</v>
      </c>
      <c r="N7" s="68"/>
      <c r="O7" s="60" t="s">
        <v>330</v>
      </c>
      <c r="P7" s="60" t="s">
        <v>499</v>
      </c>
      <c r="Q7" s="60" t="s">
        <v>499</v>
      </c>
    </row>
    <row r="8" spans="1:17" ht="7.5" customHeight="1" x14ac:dyDescent="0.25">
      <c r="A8" s="60"/>
      <c r="B8" s="60"/>
      <c r="C8" s="60"/>
      <c r="D8" s="60"/>
      <c r="E8" s="60"/>
      <c r="F8" s="60"/>
      <c r="G8" s="60"/>
      <c r="H8" s="60"/>
      <c r="I8" s="60"/>
      <c r="J8" s="60"/>
      <c r="K8" s="60"/>
      <c r="L8" s="60"/>
      <c r="M8" s="60" t="s">
        <v>330</v>
      </c>
      <c r="N8" s="60"/>
      <c r="O8" s="68" t="s">
        <v>330</v>
      </c>
      <c r="P8" s="60"/>
      <c r="Q8" s="60"/>
    </row>
    <row r="9" spans="1:17" ht="9.75" customHeight="1" thickBot="1" x14ac:dyDescent="0.3">
      <c r="A9" s="60"/>
      <c r="B9" s="60"/>
      <c r="C9" s="60"/>
      <c r="D9" s="60"/>
      <c r="E9" s="60"/>
      <c r="F9" s="60"/>
      <c r="G9" s="60"/>
      <c r="H9" s="60"/>
      <c r="I9" s="60"/>
      <c r="J9" s="60"/>
      <c r="K9" s="60"/>
      <c r="L9" s="60"/>
      <c r="M9" s="60"/>
      <c r="N9" s="60"/>
      <c r="O9" s="60"/>
      <c r="P9" s="60"/>
      <c r="Q9" s="60"/>
    </row>
    <row r="10" spans="1:17" ht="14.4" thickTop="1" thickBot="1" x14ac:dyDescent="0.3">
      <c r="A10" s="69" t="s">
        <v>2</v>
      </c>
      <c r="B10" s="70"/>
      <c r="C10" s="71"/>
      <c r="D10" s="72"/>
      <c r="E10" s="72"/>
      <c r="F10" s="72"/>
      <c r="G10" s="72"/>
      <c r="H10" s="72"/>
      <c r="I10" s="72"/>
      <c r="J10" s="72"/>
      <c r="K10" s="72"/>
      <c r="L10" s="72"/>
      <c r="M10" s="72"/>
      <c r="N10" s="72"/>
      <c r="O10" s="72"/>
      <c r="P10" s="72"/>
      <c r="Q10" s="73"/>
    </row>
    <row r="11" spans="1:17" x14ac:dyDescent="0.25">
      <c r="A11" s="74"/>
      <c r="B11" s="75"/>
      <c r="C11" s="75"/>
      <c r="D11" s="76" t="s">
        <v>87</v>
      </c>
      <c r="E11" s="76" t="s">
        <v>88</v>
      </c>
      <c r="F11" s="76" t="s">
        <v>89</v>
      </c>
      <c r="G11" s="76" t="s">
        <v>15</v>
      </c>
      <c r="H11" s="76" t="s">
        <v>16</v>
      </c>
      <c r="I11" s="76" t="s">
        <v>17</v>
      </c>
      <c r="J11" s="76" t="s">
        <v>33</v>
      </c>
      <c r="K11" s="76" t="s">
        <v>34</v>
      </c>
      <c r="L11" s="76" t="s">
        <v>35</v>
      </c>
      <c r="M11" s="76" t="s">
        <v>36</v>
      </c>
      <c r="N11" s="76" t="s">
        <v>37</v>
      </c>
      <c r="O11" s="76" t="s">
        <v>38</v>
      </c>
      <c r="P11" s="76" t="s">
        <v>452</v>
      </c>
      <c r="Q11" s="77" t="s">
        <v>453</v>
      </c>
    </row>
    <row r="12" spans="1:17" ht="30" customHeight="1" x14ac:dyDescent="0.25">
      <c r="A12" s="122" t="str">
        <f>VLOOKUP(Q6,'Code Sheet'!A1:G34,3,TRUE)</f>
        <v xml:space="preserve">$ Total revenue </v>
      </c>
      <c r="B12" s="123"/>
      <c r="C12" s="123"/>
      <c r="D12" s="78">
        <f>VLOOKUP(Q6,'SRT Data'!A:EZ,3,TRUE)</f>
        <v>7672</v>
      </c>
      <c r="E12" s="78">
        <f>VLOOKUP(Q6,'SRT Data'!A:EZ,16,TRUE)</f>
        <v>6681</v>
      </c>
      <c r="F12" s="78">
        <f>VLOOKUP(Q6,'SRT Data'!A:EZ,29,TRUE)</f>
        <v>2656</v>
      </c>
      <c r="G12" s="78">
        <f>VLOOKUP(Q6,'SRT Data'!A:FA,42,TRUE)</f>
        <v>9577</v>
      </c>
      <c r="H12" s="78">
        <f>VLOOKUP(Q6,'SRT Data'!A:FA,55,TRUE)</f>
        <v>7412</v>
      </c>
      <c r="I12" s="78">
        <f>VLOOKUP(Q6,'SRT Data'!A:FA,68,TRUE)</f>
        <v>2030</v>
      </c>
      <c r="J12" s="78">
        <f>VLOOKUP(Q6,'SRT Data'!A:FA,81,TRUE)</f>
        <v>2675</v>
      </c>
      <c r="K12" s="78">
        <f>VLOOKUP(Q6,'SRT Data'!A:FA,94,TRUE)</f>
        <v>7431</v>
      </c>
      <c r="L12" s="78">
        <f>VLOOKUP(Q6,'SRT Data'!A:FA,107,TRUE)</f>
        <v>16897</v>
      </c>
      <c r="M12" s="78">
        <f>VLOOKUP(Q6,'SRT Data'!A:FA,120,TRUE)</f>
        <v>5165</v>
      </c>
      <c r="N12" s="78">
        <f>VLOOKUP(Q6,'SRT Data'!A:FA,133,TRUE)</f>
        <v>12779</v>
      </c>
      <c r="O12" s="78">
        <f>VLOOKUP(Q6,'SRT Data'!A:FB,146,TRUE)</f>
        <v>2835</v>
      </c>
      <c r="P12" s="79">
        <f>VLOOKUP(Q6,'SRT Data'!A:FO,159,TRUE)</f>
        <v>60000</v>
      </c>
      <c r="Q12" s="80">
        <f>SUM(D12:O12)/P12</f>
        <v>1.3968333333333334</v>
      </c>
    </row>
    <row r="13" spans="1:17" ht="30" customHeight="1" x14ac:dyDescent="0.25">
      <c r="A13" s="122" t="str">
        <f>VLOOKUP(Q6,'Code Sheet'!A1:G34,4,TRUE)</f>
        <v xml:space="preserve"># Paid events </v>
      </c>
      <c r="B13" s="123"/>
      <c r="C13" s="123"/>
      <c r="D13" s="78">
        <f>VLOOKUP(Q6,'SRT Data'!A:EZ,4,TRUE)</f>
        <v>3</v>
      </c>
      <c r="E13" s="78">
        <f>VLOOKUP(Q6,'SRT Data'!A:EZ,17,TRUE)</f>
        <v>5</v>
      </c>
      <c r="F13" s="78">
        <f>VLOOKUP(Q6,'SRT Data'!A:EZ,30,TRUE)</f>
        <v>6</v>
      </c>
      <c r="G13" s="78">
        <f>VLOOKUP(Q6,'SRT Data'!A:FA,43,TRUE)</f>
        <v>11</v>
      </c>
      <c r="H13" s="78">
        <f>VLOOKUP(Q6,'SRT Data'!A:FA,56,TRUE)</f>
        <v>5</v>
      </c>
      <c r="I13" s="78">
        <f>VLOOKUP(Q6,'SRT Data'!A:FA,69,TRUE)</f>
        <v>9</v>
      </c>
      <c r="J13" s="78">
        <f>VLOOKUP(Q6,'SRT Data'!A:FA,82,TRUE)</f>
        <v>5</v>
      </c>
      <c r="K13" s="78">
        <f>VLOOKUP(Q6,'SRT Data'!A:FA,95,TRUE)</f>
        <v>2</v>
      </c>
      <c r="L13" s="78">
        <f>VLOOKUP(Q6,'SRT Data'!A:FA,108,TRUE)</f>
        <v>9</v>
      </c>
      <c r="M13" s="78">
        <f>VLOOKUP(Q6,'SRT Data'!A:FA,121,TRUE)</f>
        <v>5</v>
      </c>
      <c r="N13" s="78">
        <f>VLOOKUP(Q6,'SRT Data'!A:FA,134,TRUE)</f>
        <v>10</v>
      </c>
      <c r="O13" s="78">
        <f>VLOOKUP(Q6,'SRT Data'!A:FA,147,TRUE)</f>
        <v>7</v>
      </c>
      <c r="P13" s="79">
        <f>VLOOKUP(Q6,'SRT Data'!A:FO,160,TRUE)</f>
        <v>75</v>
      </c>
      <c r="Q13" s="80">
        <f t="shared" ref="Q13:Q24" si="0">SUM(D13:O13)/P13</f>
        <v>1.0266666666666666</v>
      </c>
    </row>
    <row r="14" spans="1:17" ht="30" customHeight="1" x14ac:dyDescent="0.25">
      <c r="A14" s="122" t="str">
        <f>VLOOKUP(Q6,'Code Sheet'!A1:G34,5,TRUE)</f>
        <v># Free events</v>
      </c>
      <c r="B14" s="123"/>
      <c r="C14" s="123"/>
      <c r="D14" s="78">
        <f>VLOOKUP(Q6,'SRT Data'!A:EZ,5,TRUE)</f>
        <v>18</v>
      </c>
      <c r="E14" s="78">
        <f>VLOOKUP(Q6,'SRT Data'!A:EZ,18,TRUE)</f>
        <v>18</v>
      </c>
      <c r="F14" s="78">
        <f>VLOOKUP(Q6,'SRT Data'!A:EZ,31,TRUE)</f>
        <v>13</v>
      </c>
      <c r="G14" s="78">
        <f>VLOOKUP(Q6,'SRT Data'!A:FA,44,TRUE)</f>
        <v>19</v>
      </c>
      <c r="H14" s="78">
        <f>VLOOKUP(Q6,'SRT Data'!A:FA,57,TRUE)</f>
        <v>13</v>
      </c>
      <c r="I14" s="78">
        <f>VLOOKUP(Q6,'SRT Data'!A:FA,70,TRUE)</f>
        <v>9</v>
      </c>
      <c r="J14" s="78">
        <f>VLOOKUP(Q6,'SRT Data'!A:FA,83,TRUE)</f>
        <v>21</v>
      </c>
      <c r="K14" s="78">
        <f>VLOOKUP(Q6,'SRT Data'!A:FA,96,TRUE)</f>
        <v>19</v>
      </c>
      <c r="L14" s="78">
        <f>VLOOKUP(Q6,'SRT Data'!A:FA,109,TRUE)</f>
        <v>24</v>
      </c>
      <c r="M14" s="78">
        <f>VLOOKUP(Q6,'SRT Data'!A:FA,122,TRUE)</f>
        <v>23</v>
      </c>
      <c r="N14" s="78">
        <f>VLOOKUP(Q6,'SRT Data'!A:FA,135,TRUE)</f>
        <v>14</v>
      </c>
      <c r="O14" s="78">
        <f>VLOOKUP(Q6,'SRT Data'!A:FA,148,TRUE)</f>
        <v>15</v>
      </c>
      <c r="P14" s="79">
        <f>VLOOKUP(Q6,'SRT Data'!A:FO,161,TRUE)</f>
        <v>190</v>
      </c>
      <c r="Q14" s="80">
        <f t="shared" si="0"/>
        <v>1.0842105263157895</v>
      </c>
    </row>
    <row r="15" spans="1:17" ht="30" customHeight="1" x14ac:dyDescent="0.25">
      <c r="A15" s="122" t="str">
        <f>VLOOKUP(Q6,'Code Sheet'!A1:G34,6,TRUE)</f>
        <v xml:space="preserve"># Visitors </v>
      </c>
      <c r="B15" s="123"/>
      <c r="C15" s="123"/>
      <c r="D15" s="78">
        <f>VLOOKUP(Q6,'SRT Data'!A:EZ,6,TRUE)</f>
        <v>1424</v>
      </c>
      <c r="E15" s="78">
        <f>VLOOKUP(Q6,'SRT Data'!A:EZ,19,TRUE)</f>
        <v>3254</v>
      </c>
      <c r="F15" s="78">
        <f>VLOOKUP(Q6,'SRT Data'!A:EZ,32,TRUE)</f>
        <v>5060</v>
      </c>
      <c r="G15" s="78">
        <f>VLOOKUP(Q6,'SRT Data'!A:FA,45,TRUE)</f>
        <v>5445</v>
      </c>
      <c r="H15" s="78">
        <f>VLOOKUP(Q6,'SRT Data'!A:FA,58,TRUE)</f>
        <v>5061</v>
      </c>
      <c r="I15" s="78">
        <f>VLOOKUP(Q6,'SRT Data'!A:FA,71,TRUE)</f>
        <v>7230</v>
      </c>
      <c r="J15" s="78">
        <f>VLOOKUP(Q6,'SRT Data'!A:FA,84,TRUE)</f>
        <v>1618</v>
      </c>
      <c r="K15" s="78">
        <f>VLOOKUP(Q6,'SRT Data'!A:FA,97,TRUE)</f>
        <v>2901</v>
      </c>
      <c r="L15" s="78">
        <f>VLOOKUP(Q6,'SRT Data'!A:FA,110,TRUE)</f>
        <v>5801</v>
      </c>
      <c r="M15" s="78">
        <f>VLOOKUP(Q6,'SRT Data'!A:FA,123,TRUE)</f>
        <v>6662</v>
      </c>
      <c r="N15" s="78">
        <f>VLOOKUP(Q6,'SRT Data'!A:FA,136,TRUE)</f>
        <v>9281</v>
      </c>
      <c r="O15" s="78">
        <f>VLOOKUP(Q6,'SRT Data'!A:FA,149,TRUE)</f>
        <v>9517</v>
      </c>
      <c r="P15" s="79">
        <f>VLOOKUP(Q6,'SRT Data'!A:FO,162,TRUE)</f>
        <v>45000</v>
      </c>
      <c r="Q15" s="80">
        <f t="shared" si="0"/>
        <v>1.4056444444444445</v>
      </c>
    </row>
    <row r="16" spans="1:17" ht="30" customHeight="1" x14ac:dyDescent="0.25">
      <c r="A16" s="122" t="str">
        <f>VLOOKUP(Q6,'Code Sheet'!A1:G34,7,TRUE)</f>
        <v># Un-rentable days due to rehearsals</v>
      </c>
      <c r="B16" s="123"/>
      <c r="C16" s="123"/>
      <c r="D16" s="78">
        <f>VLOOKUP(Q6,'SRT Data'!A:EZ,7,TRUE)</f>
        <v>22</v>
      </c>
      <c r="E16" s="78">
        <f>VLOOKUP(Q6,'SRT Data'!A:EZ,20,TRUE)</f>
        <v>2</v>
      </c>
      <c r="F16" s="78">
        <f>VLOOKUP(Q6,'SRT Data'!A:EZ,33,TRUE)</f>
        <v>6</v>
      </c>
      <c r="G16" s="78">
        <f>VLOOKUP(Q6,'SRT Data'!A:FA,46,TRUE)</f>
        <v>14</v>
      </c>
      <c r="H16" s="78">
        <f>VLOOKUP(Q6,'SRT Data'!A:FA,59,TRUE)</f>
        <v>17</v>
      </c>
      <c r="I16" s="78">
        <f>VLOOKUP(Q6,'SRT Data'!A:FA,72,TRUE)</f>
        <v>1</v>
      </c>
      <c r="J16" s="78">
        <f>VLOOKUP(Q6,'SRT Data'!A:FA,85,TRUE)</f>
        <v>1</v>
      </c>
      <c r="K16" s="78">
        <f>VLOOKUP(Q6,'SRT Data'!A:FA,98,TRUE)</f>
        <v>2</v>
      </c>
      <c r="L16" s="78">
        <f>VLOOKUP(Q6,'SRT Data'!A:FA,111,TRUE)</f>
        <v>5</v>
      </c>
      <c r="M16" s="78">
        <f>VLOOKUP(Q6,'SRT Data'!A:FA,124,TRUE)</f>
        <v>3</v>
      </c>
      <c r="N16" s="78">
        <f>VLOOKUP(Q6,'SRT Data'!A:FA,137,TRUE)</f>
        <v>12</v>
      </c>
      <c r="O16" s="78">
        <f>VLOOKUP(Q6,'SRT Data'!A:FA,150,TRUE)</f>
        <v>9</v>
      </c>
      <c r="P16" s="79">
        <f>VLOOKUP(Q6,'SRT Data'!A:FO,163,TRUE)</f>
        <v>60</v>
      </c>
      <c r="Q16" s="80">
        <f t="shared" si="0"/>
        <v>1.5666666666666667</v>
      </c>
    </row>
    <row r="17" spans="1:17" ht="30" customHeight="1" x14ac:dyDescent="0.25">
      <c r="A17" s="118">
        <f>VLOOKUP(Q6,'Code Sheet'!A1:L34,8,TRUE)</f>
        <v>0</v>
      </c>
      <c r="B17" s="119"/>
      <c r="C17" s="119"/>
      <c r="D17" s="78" t="str">
        <f>VLOOKUP(Q6,'SRT Data'!A:EZ,8,TRUE)</f>
        <v xml:space="preserve">  </v>
      </c>
      <c r="E17" s="78">
        <f>VLOOKUP(Q6,'SRT Data'!A:EZ,21,TRUE)</f>
        <v>0</v>
      </c>
      <c r="F17" s="78">
        <f>VLOOKUP(Q6,'SRT Data'!A:EZ,34,TRUE)</f>
        <v>0</v>
      </c>
      <c r="G17" s="78">
        <f>VLOOKUP(Q6,'SRT Data'!A:FA,47,TRUE)</f>
        <v>0</v>
      </c>
      <c r="H17" s="78">
        <f>VLOOKUP(Q6,'SRT Data'!A:FA,60,TRUE)</f>
        <v>0</v>
      </c>
      <c r="I17" s="78">
        <f>VLOOKUP(Q6,'SRT Data'!A:FA,73,TRUE)</f>
        <v>0</v>
      </c>
      <c r="J17" s="78">
        <f>VLOOKUP(Q6,'SRT Data'!A:FA,86,TRUE)</f>
        <v>0</v>
      </c>
      <c r="K17" s="78">
        <f>VLOOKUP(Q6,'SRT Data'!A:FA,99,TRUE)</f>
        <v>0</v>
      </c>
      <c r="L17" s="78">
        <f>VLOOKUP(Q6,'SRT Data'!A:FA,112,TRUE)</f>
        <v>0</v>
      </c>
      <c r="M17" s="78">
        <f>VLOOKUP(Q6,'SRT Data'!A:FA,125,TRUE)</f>
        <v>0</v>
      </c>
      <c r="N17" s="78">
        <f>VLOOKUP(Q6,'SRT Data'!A:FA,138,TRUE)</f>
        <v>0</v>
      </c>
      <c r="O17" s="78">
        <f>VLOOKUP(Q6,'SRT Data'!A:FA,151,TRUE)</f>
        <v>0</v>
      </c>
      <c r="P17" s="79">
        <f>VLOOKUP(Q6,'SRT Data'!A:FO,164,TRUE)</f>
        <v>0</v>
      </c>
      <c r="Q17" s="80" t="e">
        <f t="shared" si="0"/>
        <v>#DIV/0!</v>
      </c>
    </row>
    <row r="18" spans="1:17" ht="30" customHeight="1" x14ac:dyDescent="0.25">
      <c r="A18" s="118">
        <f>VLOOKUP(Q6,'Code Sheet'!A1:L34,9,TRUE)</f>
        <v>0</v>
      </c>
      <c r="B18" s="119"/>
      <c r="C18" s="119"/>
      <c r="D18" s="78">
        <f>VLOOKUP(Q6,'SRT Data'!A:EZ,9,TRUE)</f>
        <v>0</v>
      </c>
      <c r="E18" s="78">
        <f>VLOOKUP(Q6,'SRT Data'!A:EZ,22,TRUE)</f>
        <v>0</v>
      </c>
      <c r="F18" s="78">
        <f>VLOOKUP(Q6,'SRT Data'!A:EZ,35,TRUE)</f>
        <v>0</v>
      </c>
      <c r="G18" s="78">
        <f>VLOOKUP(Q6,'SRT Data'!A:FA,48,TRUE)</f>
        <v>0</v>
      </c>
      <c r="H18" s="78">
        <f>VLOOKUP(Q6,'SRT Data'!A:FA,61,TRUE)</f>
        <v>0</v>
      </c>
      <c r="I18" s="78">
        <f>VLOOKUP(Q6,'SRT Data'!A:FA,74,TRUE)</f>
        <v>0</v>
      </c>
      <c r="J18" s="78">
        <f>VLOOKUP(Q6,'SRT Data'!A:FA,87,TRUE)</f>
        <v>0</v>
      </c>
      <c r="K18" s="78">
        <f>VLOOKUP(Q6,'SRT Data'!A:FA,100,TRUE)</f>
        <v>0</v>
      </c>
      <c r="L18" s="78">
        <f>VLOOKUP(Q6,'SRT Data'!A:FA,113,TRUE)</f>
        <v>0</v>
      </c>
      <c r="M18" s="78">
        <f>VLOOKUP(Q6,'SRT Data'!A:FA,126,TRUE)</f>
        <v>0</v>
      </c>
      <c r="N18" s="78">
        <f>VLOOKUP(Q6,'SRT Data'!A:FA,139,TRUE)</f>
        <v>0</v>
      </c>
      <c r="O18" s="78">
        <f>VLOOKUP(Q6,'SRT Data'!A:FA,152,TRUE)</f>
        <v>0</v>
      </c>
      <c r="P18" s="79">
        <f>VLOOKUP(Q6,'SRT Data'!A:FO,165,TRUE)</f>
        <v>0</v>
      </c>
      <c r="Q18" s="80" t="e">
        <f t="shared" si="0"/>
        <v>#DIV/0!</v>
      </c>
    </row>
    <row r="19" spans="1:17" ht="30" customHeight="1" x14ac:dyDescent="0.25">
      <c r="A19" s="118">
        <f>VLOOKUP(Q6,'Code Sheet'!A1:L34,10,TRUE)</f>
        <v>0</v>
      </c>
      <c r="B19" s="119"/>
      <c r="C19" s="119"/>
      <c r="D19" s="78">
        <f>VLOOKUP(Q6,'SRT Data'!A:EZ,10,TRUE)</f>
        <v>0</v>
      </c>
      <c r="E19" s="78">
        <f>VLOOKUP(Q6,'SRT Data'!A:EZ,23,TRUE)</f>
        <v>0</v>
      </c>
      <c r="F19" s="78">
        <f>VLOOKUP(Q6,'SRT Data'!A:EZ,36,TRUE)</f>
        <v>0</v>
      </c>
      <c r="G19" s="78">
        <f>VLOOKUP(Q6,'SRT Data'!A:FA,49,TRUE)</f>
        <v>0</v>
      </c>
      <c r="H19" s="78">
        <f>VLOOKUP(Q6,'SRT Data'!A:FA,62,TRUE)</f>
        <v>0</v>
      </c>
      <c r="I19" s="78">
        <f>VLOOKUP(Q6,'SRT Data'!A:FA,75,TRUE)</f>
        <v>0</v>
      </c>
      <c r="J19" s="78">
        <f>VLOOKUP(Q6,'SRT Data'!A:FA,88,TRUE)</f>
        <v>0</v>
      </c>
      <c r="K19" s="78">
        <f>VLOOKUP(Q6,'SRT Data'!A:FA,101,TRUE)</f>
        <v>0</v>
      </c>
      <c r="L19" s="78">
        <f>VLOOKUP(Q6,'SRT Data'!A:FA,114,TRUE)</f>
        <v>0</v>
      </c>
      <c r="M19" s="78">
        <f>VLOOKUP(Q6,'SRT Data'!A:FA,127,TRUE)</f>
        <v>0</v>
      </c>
      <c r="N19" s="78">
        <f>VLOOKUP(Q6,'SRT Data'!A:FA,140,TRUE)</f>
        <v>0</v>
      </c>
      <c r="O19" s="78">
        <f>VLOOKUP(Q6,'SRT Data'!A:FA,153,TRUE)</f>
        <v>0</v>
      </c>
      <c r="P19" s="79">
        <f>VLOOKUP(Q6,'SRT Data'!A:FO,166,TRUE)</f>
        <v>0</v>
      </c>
      <c r="Q19" s="80" t="e">
        <f t="shared" si="0"/>
        <v>#DIV/0!</v>
      </c>
    </row>
    <row r="20" spans="1:17" ht="30" customHeight="1" x14ac:dyDescent="0.25">
      <c r="A20" s="118">
        <f>VLOOKUP(Q6,'Code Sheet'!A1:L34,11,TRUE)</f>
        <v>0</v>
      </c>
      <c r="B20" s="119"/>
      <c r="C20" s="119"/>
      <c r="D20" s="78">
        <f>VLOOKUP(Q6,'SRT Data'!A:EZ,11,TRUE)</f>
        <v>0</v>
      </c>
      <c r="E20" s="78">
        <f>VLOOKUP(Q6,'SRT Data'!A:EZ,24,TRUE)</f>
        <v>0</v>
      </c>
      <c r="F20" s="78">
        <f>VLOOKUP(Q6,'SRT Data'!A:EZ,37,TRUE)</f>
        <v>0</v>
      </c>
      <c r="G20" s="78">
        <f>VLOOKUP(Q6,'SRT Data'!A:FA,50,TRUE)</f>
        <v>0</v>
      </c>
      <c r="H20" s="78">
        <f>VLOOKUP(Q6,'SRT Data'!A:FA,63,TRUE)</f>
        <v>0</v>
      </c>
      <c r="I20" s="78">
        <f>VLOOKUP(Q6,'SRT Data'!A:FA,76,TRUE)</f>
        <v>0</v>
      </c>
      <c r="J20" s="78">
        <f>VLOOKUP(Q6,'SRT Data'!A:FA,89,TRUE)</f>
        <v>0</v>
      </c>
      <c r="K20" s="78">
        <f>VLOOKUP(Q6,'SRT Data'!A:FA,102,TRUE)</f>
        <v>0</v>
      </c>
      <c r="L20" s="78">
        <f>VLOOKUP(Q6,'SRT Data'!A:FA,115,TRUE)</f>
        <v>0</v>
      </c>
      <c r="M20" s="78">
        <f>VLOOKUP(Q6,'SRT Data'!A:FA,128,TRUE)</f>
        <v>0</v>
      </c>
      <c r="N20" s="78">
        <f>VLOOKUP(Q6,'SRT Data'!A:FA,141,TRUE)</f>
        <v>0</v>
      </c>
      <c r="O20" s="78">
        <f>VLOOKUP(Q6,'SRT Data'!A:FA,154,TRUE)</f>
        <v>0</v>
      </c>
      <c r="P20" s="79">
        <f>VLOOKUP(Q6,'SRT Data'!A:FO,167,TRUE)</f>
        <v>0</v>
      </c>
      <c r="Q20" s="80" t="e">
        <f t="shared" si="0"/>
        <v>#DIV/0!</v>
      </c>
    </row>
    <row r="21" spans="1:17" ht="30" customHeight="1" x14ac:dyDescent="0.25">
      <c r="A21" s="118">
        <f>VLOOKUP(Q6,'Code Sheet'!A1:L34,12,TRUE)</f>
        <v>0</v>
      </c>
      <c r="B21" s="119"/>
      <c r="C21" s="119"/>
      <c r="D21" s="78">
        <f>VLOOKUP(Q6,'SRT Data'!A:EZ,12,TRUE)</f>
        <v>0</v>
      </c>
      <c r="E21" s="78">
        <f>VLOOKUP(Q6,'SRT Data'!A:EZ,25,TRUE)</f>
        <v>0</v>
      </c>
      <c r="F21" s="78">
        <f>VLOOKUP(Q6,'SRT Data'!A:EZ,38,TRUE)</f>
        <v>0</v>
      </c>
      <c r="G21" s="78">
        <f>VLOOKUP(Q6,'SRT Data'!A:FA,51,TRUE)</f>
        <v>0</v>
      </c>
      <c r="H21" s="78">
        <f>VLOOKUP(Q6,'SRT Data'!A:FA,64,TRUE)</f>
        <v>0</v>
      </c>
      <c r="I21" s="78">
        <f>VLOOKUP(Q6,'SRT Data'!A:FA,77,TRUE)</f>
        <v>0</v>
      </c>
      <c r="J21" s="78">
        <f>VLOOKUP(Q6,'SRT Data'!A:FA,90,TRUE)</f>
        <v>0</v>
      </c>
      <c r="K21" s="78">
        <f>VLOOKUP(Q6,'SRT Data'!A:FA,103,TRUE)</f>
        <v>0</v>
      </c>
      <c r="L21" s="78">
        <f>VLOOKUP(Q6,'SRT Data'!A:FA,116,TRUE)</f>
        <v>0</v>
      </c>
      <c r="M21" s="78">
        <f>VLOOKUP(Q6,'SRT Data'!A:FA,129,TRUE)</f>
        <v>0</v>
      </c>
      <c r="N21" s="78">
        <f>VLOOKUP(Q6,'SRT Data'!A:FA,142,TRUE)</f>
        <v>0</v>
      </c>
      <c r="O21" s="78">
        <f>VLOOKUP(Q6,'SRT Data'!A:FA,155,TRUE)</f>
        <v>0</v>
      </c>
      <c r="P21" s="79">
        <f>VLOOKUP(Q6,'SRT Data'!A:FO,168,TRUE)</f>
        <v>0</v>
      </c>
      <c r="Q21" s="80" t="e">
        <f t="shared" si="0"/>
        <v>#DIV/0!</v>
      </c>
    </row>
    <row r="22" spans="1:17" ht="30" customHeight="1" x14ac:dyDescent="0.25">
      <c r="A22" s="118">
        <f>VLOOKUP(Q6,'Code Sheet'!A1:M35,13,TRUE)</f>
        <v>0</v>
      </c>
      <c r="B22" s="119"/>
      <c r="C22" s="119"/>
      <c r="D22" s="78">
        <f>VLOOKUP(Q6,'SRT Data'!A:EZ,13,TRUE)</f>
        <v>0</v>
      </c>
      <c r="E22" s="78">
        <f>VLOOKUP(Q6,'SRT Data'!A:EZ,26,TRUE)</f>
        <v>0</v>
      </c>
      <c r="F22" s="78">
        <f>VLOOKUP(Q6,'SRT Data'!A:EZ,39,TRUE)</f>
        <v>0</v>
      </c>
      <c r="G22" s="78">
        <f>VLOOKUP(Q6,'SRT Data'!A:FA,52,TRUE)</f>
        <v>0</v>
      </c>
      <c r="H22" s="78">
        <f>VLOOKUP(Q6,'SRT Data'!A:FA,65,TRUE)</f>
        <v>0</v>
      </c>
      <c r="I22" s="78">
        <f>VLOOKUP(Q6,'SRT Data'!A:FA,78,TRUE)</f>
        <v>0</v>
      </c>
      <c r="J22" s="78">
        <f>VLOOKUP(Q6,'SRT Data'!A:FA,91,TRUE)</f>
        <v>0</v>
      </c>
      <c r="K22" s="78">
        <f>VLOOKUP(Q6,'SRT Data'!A:FA,104,TRUE)</f>
        <v>0</v>
      </c>
      <c r="L22" s="78">
        <f>VLOOKUP(Q6,'SRT Data'!A:FA,117,TRUE)</f>
        <v>0</v>
      </c>
      <c r="M22" s="78">
        <f>VLOOKUP(Q6,'SRT Data'!A:FA,130,TRUE)</f>
        <v>0</v>
      </c>
      <c r="N22" s="78">
        <f>VLOOKUP(Q6,'SRT Data'!A:FA,143,TRUE)</f>
        <v>0</v>
      </c>
      <c r="O22" s="78">
        <f>VLOOKUP(Q6,'SRT Data'!A:FB,156,TRUE)</f>
        <v>0</v>
      </c>
      <c r="P22" s="79">
        <f>VLOOKUP(Q6,'SRT Data'!A:FO,169,TRUE)</f>
        <v>0</v>
      </c>
      <c r="Q22" s="80" t="e">
        <f t="shared" si="0"/>
        <v>#DIV/0!</v>
      </c>
    </row>
    <row r="23" spans="1:17" ht="30" customHeight="1" x14ac:dyDescent="0.25">
      <c r="A23" s="118">
        <f>VLOOKUP(Q6,'Code Sheet'!A1:O34,14,TRUE)</f>
        <v>0</v>
      </c>
      <c r="B23" s="119"/>
      <c r="C23" s="119"/>
      <c r="D23" s="78">
        <f>VLOOKUP(Q6,'SRT Data'!A:EZ,14,TRUE)</f>
        <v>0</v>
      </c>
      <c r="E23" s="78">
        <f>VLOOKUP(Q6,'SRT Data'!A:EZ,27,TRUE)</f>
        <v>0</v>
      </c>
      <c r="F23" s="78">
        <f>VLOOKUP(Q6,'SRT Data'!A:EZ,40,TRUE)</f>
        <v>0</v>
      </c>
      <c r="G23" s="78">
        <f>VLOOKUP(Q6,'SRT Data'!A:FA,53,TRUE)</f>
        <v>0</v>
      </c>
      <c r="H23" s="78">
        <f>VLOOKUP(Q6,'SRT Data'!A:FA,66,TRUE)</f>
        <v>0</v>
      </c>
      <c r="I23" s="78">
        <f>VLOOKUP(Q6,'SRT Data'!A:FA,79,TRUE)</f>
        <v>0</v>
      </c>
      <c r="J23" s="78">
        <f>VLOOKUP(Q6,'SRT Data'!A:FA,92,TRUE)</f>
        <v>0</v>
      </c>
      <c r="K23" s="78">
        <f>VLOOKUP(Q6,'SRT Data'!A:FA,105,TRUE)</f>
        <v>0</v>
      </c>
      <c r="L23" s="78">
        <f>VLOOKUP(Q6,'SRT Data'!A:FA,118,TRUE)</f>
        <v>0</v>
      </c>
      <c r="M23" s="78">
        <f>VLOOKUP(Q6,'SRT Data'!A:FA,131,TRUE)</f>
        <v>0</v>
      </c>
      <c r="N23" s="78">
        <f>VLOOKUP(Q6,'SRT Data'!A:FA,144,TRUE)</f>
        <v>0</v>
      </c>
      <c r="O23" s="78">
        <f>VLOOKUP(Q6,'SRT Data'!A:FB,157,TRUE)</f>
        <v>0</v>
      </c>
      <c r="P23" s="79">
        <f>VLOOKUP(Q6,'SRT Data'!A:FO,170,TRUE)</f>
        <v>0</v>
      </c>
      <c r="Q23" s="80" t="e">
        <f t="shared" si="0"/>
        <v>#DIV/0!</v>
      </c>
    </row>
    <row r="24" spans="1:17" ht="30" customHeight="1" thickBot="1" x14ac:dyDescent="0.3">
      <c r="A24" s="120">
        <f>VLOOKUP(Q6,'Code Sheet'!A1:O37,15,TRUE)</f>
        <v>0</v>
      </c>
      <c r="B24" s="121"/>
      <c r="C24" s="121"/>
      <c r="D24" s="81">
        <f>VLOOKUP(Q6,'SRT Data'!A:EZ,15,TRUE)</f>
        <v>0</v>
      </c>
      <c r="E24" s="81">
        <f>VLOOKUP(Q6,'SRT Data'!A:EZ,28,TRUE)</f>
        <v>0</v>
      </c>
      <c r="F24" s="81">
        <f>VLOOKUP(Q6,'SRT Data'!A:EZ,41,TRUE)</f>
        <v>0</v>
      </c>
      <c r="G24" s="81">
        <f>VLOOKUP(Q6,'SRT Data'!A:FA,54,TRUE)</f>
        <v>0</v>
      </c>
      <c r="H24" s="81">
        <f>VLOOKUP(Q6,'SRT Data'!A:FA,67,TRUE)</f>
        <v>0</v>
      </c>
      <c r="I24" s="81">
        <f>VLOOKUP(Q6,'SRT Data'!A:FA,80,TRUE)</f>
        <v>0</v>
      </c>
      <c r="J24" s="81">
        <f>VLOOKUP(Q6,'SRT Data'!A:FA,93,TRUE)</f>
        <v>0</v>
      </c>
      <c r="K24" s="81">
        <f>VLOOKUP(Q6,'SRT Data'!A:FA,106,TRUE)</f>
        <v>0</v>
      </c>
      <c r="L24" s="81">
        <f>VLOOKUP(Q6,'SRT Data'!A:FA,119,TRUE)</f>
        <v>0</v>
      </c>
      <c r="M24" s="81">
        <f>VLOOKUP(Q6,'SRT Data'!A:FA,132,TRUE)</f>
        <v>0</v>
      </c>
      <c r="N24" s="81">
        <f>VLOOKUP(Q6,'SRT Data'!A:FA,145,TRUE)</f>
        <v>0</v>
      </c>
      <c r="O24" s="81">
        <f>VLOOKUP(Q6,'SRT Data'!A:FB,158,TRUE)</f>
        <v>0</v>
      </c>
      <c r="P24" s="82">
        <f>VLOOKUP(Q6,'SRT Data'!A:FO,171,TRUE)</f>
        <v>0</v>
      </c>
      <c r="Q24" s="83" t="e">
        <f t="shared" si="0"/>
        <v>#DIV/0!</v>
      </c>
    </row>
    <row r="25" spans="1:17" ht="13.8" thickTop="1" x14ac:dyDescent="0.25">
      <c r="A25" s="3"/>
      <c r="B25" s="3"/>
      <c r="C25" s="3"/>
      <c r="D25" s="3"/>
      <c r="E25" s="3"/>
      <c r="F25" s="3"/>
      <c r="G25" s="3"/>
      <c r="H25" s="3"/>
      <c r="I25" s="3"/>
    </row>
  </sheetData>
  <sheetProtection selectLockedCells="1"/>
  <mergeCells count="14">
    <mergeCell ref="A23:C23"/>
    <mergeCell ref="A24:C24"/>
    <mergeCell ref="A15:C15"/>
    <mergeCell ref="A16:C16"/>
    <mergeCell ref="B7:D7"/>
    <mergeCell ref="A12:C12"/>
    <mergeCell ref="A13:C13"/>
    <mergeCell ref="A14:C14"/>
    <mergeCell ref="A21:C21"/>
    <mergeCell ref="A17:C17"/>
    <mergeCell ref="A18:C18"/>
    <mergeCell ref="A19:C19"/>
    <mergeCell ref="A20:C20"/>
    <mergeCell ref="A22:C22"/>
  </mergeCells>
  <phoneticPr fontId="11" type="noConversion"/>
  <conditionalFormatting sqref="A13:A22 B17:C22 A22:C24">
    <cfRule type="cellIs" dxfId="2" priority="1" stopIfTrue="1" operator="equal">
      <formula>0</formula>
    </cfRule>
  </conditionalFormatting>
  <conditionalFormatting sqref="D12:O24">
    <cfRule type="cellIs" dxfId="1" priority="2" stopIfTrue="1" operator="equal">
      <formula>0</formula>
    </cfRule>
    <cfRule type="cellIs" dxfId="0" priority="3" stopIfTrue="1" operator="equal">
      <formula>0</formula>
    </cfRule>
  </conditionalFormatting>
  <pageMargins left="0.5" right="0.5" top="1" bottom="1" header="0.5" footer="0.5"/>
  <pageSetup scale="8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653"/>
  <sheetViews>
    <sheetView zoomScale="90" zoomScaleNormal="90" workbookViewId="0">
      <pane xSplit="3300" topLeftCell="EM1" activePane="topRight"/>
      <selection activeCell="A17" sqref="A17:XFD17"/>
      <selection pane="topRight" activeCell="FG42" sqref="FG42"/>
    </sheetView>
  </sheetViews>
  <sheetFormatPr defaultRowHeight="13.2" x14ac:dyDescent="0.25"/>
  <cols>
    <col min="1" max="1" width="6.33203125" customWidth="1"/>
    <col min="2" max="2" width="24.44140625" customWidth="1"/>
    <col min="4" max="4" width="8.88671875" customWidth="1"/>
    <col min="5" max="5" width="8.6640625" customWidth="1"/>
    <col min="7" max="7" width="8.109375" customWidth="1"/>
    <col min="8" max="8" width="7.109375" customWidth="1"/>
    <col min="9" max="9" width="9.5546875" customWidth="1"/>
    <col min="10" max="10" width="11.88671875" customWidth="1"/>
    <col min="11" max="15" width="12.5546875" customWidth="1"/>
    <col min="16" max="17" width="7.88671875" customWidth="1"/>
    <col min="161" max="162" width="9.33203125" bestFit="1" customWidth="1"/>
  </cols>
  <sheetData>
    <row r="1" spans="1:171" x14ac:dyDescent="0.25">
      <c r="A1" s="9" t="s">
        <v>3</v>
      </c>
      <c r="B1" s="9" t="s">
        <v>1</v>
      </c>
      <c r="C1" s="9" t="s">
        <v>90</v>
      </c>
      <c r="D1" s="9" t="s">
        <v>91</v>
      </c>
      <c r="E1" s="9" t="s">
        <v>92</v>
      </c>
      <c r="F1" s="9" t="s">
        <v>93</v>
      </c>
      <c r="G1" s="9" t="s">
        <v>94</v>
      </c>
      <c r="H1" s="9" t="s">
        <v>95</v>
      </c>
      <c r="I1" s="9" t="s">
        <v>96</v>
      </c>
      <c r="J1" s="9" t="s">
        <v>97</v>
      </c>
      <c r="K1" s="9" t="s">
        <v>98</v>
      </c>
      <c r="L1" s="9" t="s">
        <v>99</v>
      </c>
      <c r="M1" s="9" t="s">
        <v>283</v>
      </c>
      <c r="N1" s="9" t="s">
        <v>284</v>
      </c>
      <c r="O1" s="9" t="s">
        <v>285</v>
      </c>
      <c r="P1" s="9" t="s">
        <v>102</v>
      </c>
      <c r="Q1" s="9" t="s">
        <v>103</v>
      </c>
      <c r="R1" s="9" t="s">
        <v>104</v>
      </c>
      <c r="S1" s="9" t="s">
        <v>105</v>
      </c>
      <c r="T1" s="9" t="s">
        <v>106</v>
      </c>
      <c r="U1" s="9" t="s">
        <v>107</v>
      </c>
      <c r="V1" s="9" t="s">
        <v>108</v>
      </c>
      <c r="W1" s="9" t="s">
        <v>109</v>
      </c>
      <c r="X1" s="9" t="s">
        <v>110</v>
      </c>
      <c r="Y1" s="9" t="s">
        <v>111</v>
      </c>
      <c r="Z1" s="9" t="s">
        <v>286</v>
      </c>
      <c r="AA1" s="9" t="s">
        <v>287</v>
      </c>
      <c r="AB1" s="9" t="s">
        <v>288</v>
      </c>
      <c r="AC1" s="9" t="s">
        <v>112</v>
      </c>
      <c r="AD1" s="9" t="s">
        <v>113</v>
      </c>
      <c r="AE1" s="9" t="s">
        <v>114</v>
      </c>
      <c r="AF1" s="9" t="s">
        <v>115</v>
      </c>
      <c r="AG1" s="9" t="s">
        <v>116</v>
      </c>
      <c r="AH1" s="9" t="s">
        <v>117</v>
      </c>
      <c r="AI1" s="9" t="s">
        <v>118</v>
      </c>
      <c r="AJ1" s="9" t="s">
        <v>119</v>
      </c>
      <c r="AK1" s="9" t="s">
        <v>120</v>
      </c>
      <c r="AL1" s="9" t="s">
        <v>121</v>
      </c>
      <c r="AM1" s="9" t="s">
        <v>289</v>
      </c>
      <c r="AN1" s="9" t="s">
        <v>290</v>
      </c>
      <c r="AO1" s="9" t="s">
        <v>291</v>
      </c>
      <c r="AP1" s="9" t="s">
        <v>127</v>
      </c>
      <c r="AQ1" s="9" t="s">
        <v>128</v>
      </c>
      <c r="AR1" s="9" t="s">
        <v>129</v>
      </c>
      <c r="AS1" s="9" t="s">
        <v>130</v>
      </c>
      <c r="AT1" s="9" t="s">
        <v>131</v>
      </c>
      <c r="AU1" s="9" t="s">
        <v>132</v>
      </c>
      <c r="AV1" s="9" t="s">
        <v>133</v>
      </c>
      <c r="AW1" s="9" t="s">
        <v>134</v>
      </c>
      <c r="AX1" s="9" t="s">
        <v>135</v>
      </c>
      <c r="AY1" s="9" t="s">
        <v>136</v>
      </c>
      <c r="AZ1" s="9" t="s">
        <v>292</v>
      </c>
      <c r="BA1" s="9" t="s">
        <v>293</v>
      </c>
      <c r="BB1" s="9" t="s">
        <v>294</v>
      </c>
      <c r="BC1" s="9" t="s">
        <v>137</v>
      </c>
      <c r="BD1" s="9" t="s">
        <v>138</v>
      </c>
      <c r="BE1" s="9" t="s">
        <v>139</v>
      </c>
      <c r="BF1" s="9" t="s">
        <v>140</v>
      </c>
      <c r="BG1" s="9" t="s">
        <v>141</v>
      </c>
      <c r="BH1" s="9" t="s">
        <v>142</v>
      </c>
      <c r="BI1" s="9" t="s">
        <v>143</v>
      </c>
      <c r="BJ1" s="9" t="s">
        <v>144</v>
      </c>
      <c r="BK1" s="9" t="s">
        <v>145</v>
      </c>
      <c r="BL1" s="9" t="s">
        <v>146</v>
      </c>
      <c r="BM1" s="9" t="s">
        <v>295</v>
      </c>
      <c r="BN1" s="9" t="s">
        <v>296</v>
      </c>
      <c r="BO1" s="9" t="s">
        <v>297</v>
      </c>
      <c r="BP1" s="9" t="s">
        <v>147</v>
      </c>
      <c r="BQ1" s="9" t="s">
        <v>148</v>
      </c>
      <c r="BR1" s="9" t="s">
        <v>149</v>
      </c>
      <c r="BS1" s="9" t="s">
        <v>150</v>
      </c>
      <c r="BT1" s="9" t="s">
        <v>151</v>
      </c>
      <c r="BU1" s="9" t="s">
        <v>152</v>
      </c>
      <c r="BV1" s="9" t="s">
        <v>153</v>
      </c>
      <c r="BW1" s="9" t="s">
        <v>154</v>
      </c>
      <c r="BX1" s="9" t="s">
        <v>155</v>
      </c>
      <c r="BY1" s="9" t="s">
        <v>156</v>
      </c>
      <c r="BZ1" s="9" t="s">
        <v>298</v>
      </c>
      <c r="CA1" s="9" t="s">
        <v>299</v>
      </c>
      <c r="CB1" s="9" t="s">
        <v>300</v>
      </c>
      <c r="CC1" s="9" t="s">
        <v>157</v>
      </c>
      <c r="CD1" s="9" t="s">
        <v>158</v>
      </c>
      <c r="CE1" s="9" t="s">
        <v>159</v>
      </c>
      <c r="CF1" s="9" t="s">
        <v>160</v>
      </c>
      <c r="CG1" s="9" t="s">
        <v>161</v>
      </c>
      <c r="CH1" s="9" t="s">
        <v>162</v>
      </c>
      <c r="CI1" s="9" t="s">
        <v>163</v>
      </c>
      <c r="CJ1" s="9" t="s">
        <v>164</v>
      </c>
      <c r="CK1" s="9" t="s">
        <v>165</v>
      </c>
      <c r="CL1" s="9" t="s">
        <v>166</v>
      </c>
      <c r="CM1" s="9" t="s">
        <v>301</v>
      </c>
      <c r="CN1" s="9" t="s">
        <v>302</v>
      </c>
      <c r="CO1" s="9" t="s">
        <v>303</v>
      </c>
      <c r="CP1" s="9" t="s">
        <v>167</v>
      </c>
      <c r="CQ1" s="9" t="s">
        <v>168</v>
      </c>
      <c r="CR1" s="9" t="s">
        <v>169</v>
      </c>
      <c r="CS1" s="9" t="s">
        <v>170</v>
      </c>
      <c r="CT1" s="9" t="s">
        <v>171</v>
      </c>
      <c r="CU1" s="9" t="s">
        <v>172</v>
      </c>
      <c r="CV1" s="9" t="s">
        <v>173</v>
      </c>
      <c r="CW1" s="9" t="s">
        <v>174</v>
      </c>
      <c r="CX1" s="9" t="s">
        <v>175</v>
      </c>
      <c r="CY1" s="9" t="s">
        <v>176</v>
      </c>
      <c r="CZ1" s="9" t="s">
        <v>304</v>
      </c>
      <c r="DA1" s="9" t="s">
        <v>305</v>
      </c>
      <c r="DB1" s="9" t="s">
        <v>306</v>
      </c>
      <c r="DC1" s="9" t="s">
        <v>177</v>
      </c>
      <c r="DD1" s="9" t="s">
        <v>178</v>
      </c>
      <c r="DE1" s="9" t="s">
        <v>179</v>
      </c>
      <c r="DF1" s="9" t="s">
        <v>180</v>
      </c>
      <c r="DG1" s="9" t="s">
        <v>181</v>
      </c>
      <c r="DH1" s="9" t="s">
        <v>182</v>
      </c>
      <c r="DI1" s="9" t="s">
        <v>183</v>
      </c>
      <c r="DJ1" s="9" t="s">
        <v>184</v>
      </c>
      <c r="DK1" s="9" t="s">
        <v>185</v>
      </c>
      <c r="DL1" s="9" t="s">
        <v>186</v>
      </c>
      <c r="DM1" s="9" t="s">
        <v>307</v>
      </c>
      <c r="DN1" s="9" t="s">
        <v>308</v>
      </c>
      <c r="DO1" s="9" t="s">
        <v>309</v>
      </c>
      <c r="DP1" s="9" t="s">
        <v>190</v>
      </c>
      <c r="DQ1" s="9" t="s">
        <v>191</v>
      </c>
      <c r="DR1" s="9" t="s">
        <v>192</v>
      </c>
      <c r="DS1" s="9" t="s">
        <v>193</v>
      </c>
      <c r="DT1" s="9" t="s">
        <v>194</v>
      </c>
      <c r="DU1" s="9" t="s">
        <v>195</v>
      </c>
      <c r="DV1" s="9" t="s">
        <v>196</v>
      </c>
      <c r="DW1" s="9" t="s">
        <v>197</v>
      </c>
      <c r="DX1" s="9" t="s">
        <v>198</v>
      </c>
      <c r="DY1" s="9" t="s">
        <v>199</v>
      </c>
      <c r="DZ1" s="9" t="s">
        <v>310</v>
      </c>
      <c r="EA1" s="9" t="s">
        <v>311</v>
      </c>
      <c r="EB1" s="9" t="s">
        <v>312</v>
      </c>
      <c r="EC1" s="9" t="s">
        <v>200</v>
      </c>
      <c r="ED1" s="9" t="s">
        <v>201</v>
      </c>
      <c r="EE1" s="9" t="s">
        <v>202</v>
      </c>
      <c r="EF1" s="9" t="s">
        <v>203</v>
      </c>
      <c r="EG1" s="9" t="s">
        <v>204</v>
      </c>
      <c r="EH1" s="9" t="s">
        <v>205</v>
      </c>
      <c r="EI1" s="9" t="s">
        <v>206</v>
      </c>
      <c r="EJ1" s="9" t="s">
        <v>207</v>
      </c>
      <c r="EK1" s="9" t="s">
        <v>208</v>
      </c>
      <c r="EL1" s="9" t="s">
        <v>209</v>
      </c>
      <c r="EM1" s="9" t="s">
        <v>313</v>
      </c>
      <c r="EN1" s="9" t="s">
        <v>314</v>
      </c>
      <c r="EO1" s="9" t="s">
        <v>315</v>
      </c>
      <c r="EP1" s="9" t="s">
        <v>210</v>
      </c>
      <c r="EQ1" s="9" t="s">
        <v>211</v>
      </c>
      <c r="ER1" s="9" t="s">
        <v>212</v>
      </c>
      <c r="ES1" s="9" t="s">
        <v>213</v>
      </c>
      <c r="ET1" s="9" t="s">
        <v>214</v>
      </c>
      <c r="EU1" s="9" t="s">
        <v>215</v>
      </c>
      <c r="EV1" s="9" t="s">
        <v>216</v>
      </c>
      <c r="EW1" s="9" t="s">
        <v>217</v>
      </c>
      <c r="EX1" s="9" t="s">
        <v>218</v>
      </c>
      <c r="EY1" s="9" t="s">
        <v>219</v>
      </c>
      <c r="EZ1" s="9" t="s">
        <v>316</v>
      </c>
      <c r="FA1" s="9" t="s">
        <v>317</v>
      </c>
      <c r="FB1" s="9" t="s">
        <v>318</v>
      </c>
      <c r="FC1" s="9" t="s">
        <v>414</v>
      </c>
      <c r="FD1" s="9" t="s">
        <v>415</v>
      </c>
      <c r="FE1" s="9" t="s">
        <v>416</v>
      </c>
      <c r="FF1" s="9" t="s">
        <v>417</v>
      </c>
      <c r="FG1" s="9" t="s">
        <v>418</v>
      </c>
      <c r="FH1" s="9" t="s">
        <v>419</v>
      </c>
      <c r="FI1" s="9" t="s">
        <v>420</v>
      </c>
      <c r="FJ1" s="9" t="s">
        <v>421</v>
      </c>
      <c r="FK1" s="9" t="s">
        <v>422</v>
      </c>
      <c r="FL1" s="9" t="s">
        <v>423</v>
      </c>
      <c r="FM1" s="9" t="s">
        <v>424</v>
      </c>
      <c r="FN1" s="9" t="s">
        <v>425</v>
      </c>
      <c r="FO1" s="9" t="s">
        <v>426</v>
      </c>
    </row>
    <row r="2" spans="1:171" x14ac:dyDescent="0.25">
      <c r="A2" s="25">
        <v>1</v>
      </c>
      <c r="B2" s="26" t="s">
        <v>221</v>
      </c>
      <c r="C2" s="16">
        <v>7672</v>
      </c>
      <c r="D2" s="16">
        <v>3</v>
      </c>
      <c r="E2" s="16">
        <v>18</v>
      </c>
      <c r="F2" s="16">
        <v>1424</v>
      </c>
      <c r="G2" s="16">
        <v>22</v>
      </c>
      <c r="H2" s="16" t="s">
        <v>499</v>
      </c>
      <c r="I2" s="16"/>
      <c r="J2" s="11"/>
      <c r="K2" s="11"/>
      <c r="L2" s="9"/>
      <c r="M2" s="9"/>
      <c r="N2" s="9"/>
      <c r="O2" s="9"/>
      <c r="P2" s="16">
        <v>6681</v>
      </c>
      <c r="Q2" s="16">
        <v>5</v>
      </c>
      <c r="R2" s="16">
        <v>18</v>
      </c>
      <c r="S2" s="16">
        <v>3254</v>
      </c>
      <c r="T2" s="16">
        <v>2</v>
      </c>
      <c r="U2" s="17"/>
      <c r="V2" s="17"/>
      <c r="W2" s="17"/>
      <c r="X2" s="17"/>
      <c r="Y2" s="17"/>
      <c r="Z2" s="17"/>
      <c r="AA2" s="17"/>
      <c r="AB2" s="17"/>
      <c r="AC2" s="16">
        <v>2656</v>
      </c>
      <c r="AD2" s="16">
        <v>6</v>
      </c>
      <c r="AE2" s="16">
        <v>13</v>
      </c>
      <c r="AF2" s="16">
        <v>5060</v>
      </c>
      <c r="AG2" s="16">
        <v>6</v>
      </c>
      <c r="AH2" s="16"/>
      <c r="AI2" s="16"/>
      <c r="AJ2" s="16"/>
      <c r="AK2" s="16"/>
      <c r="AL2" s="16"/>
      <c r="AM2" s="16"/>
      <c r="AN2" s="16"/>
      <c r="AO2" s="16"/>
      <c r="AP2" s="16">
        <v>9577</v>
      </c>
      <c r="AQ2" s="16">
        <v>11</v>
      </c>
      <c r="AR2" s="16">
        <v>19</v>
      </c>
      <c r="AS2" s="16">
        <v>5445</v>
      </c>
      <c r="AT2" s="16">
        <v>14</v>
      </c>
      <c r="AU2" s="16"/>
      <c r="AV2" s="16"/>
      <c r="AW2" s="16"/>
      <c r="AX2" s="16"/>
      <c r="AY2" s="16"/>
      <c r="AZ2" s="16"/>
      <c r="BA2" s="16"/>
      <c r="BB2" s="16"/>
      <c r="BC2" s="16">
        <v>7412</v>
      </c>
      <c r="BD2" s="16">
        <v>5</v>
      </c>
      <c r="BE2" s="16">
        <v>13</v>
      </c>
      <c r="BF2" s="16">
        <v>5061</v>
      </c>
      <c r="BG2" s="16">
        <v>17</v>
      </c>
      <c r="BH2" s="16"/>
      <c r="BI2" s="16"/>
      <c r="BJ2" s="16"/>
      <c r="BK2" s="16"/>
      <c r="BL2" s="16"/>
      <c r="BM2" s="16"/>
      <c r="BN2" s="16"/>
      <c r="BO2" s="16"/>
      <c r="BP2">
        <v>2030</v>
      </c>
      <c r="BQ2">
        <v>9</v>
      </c>
      <c r="BR2">
        <v>9</v>
      </c>
      <c r="BS2">
        <v>7230</v>
      </c>
      <c r="BT2">
        <v>1</v>
      </c>
      <c r="BU2" s="16"/>
      <c r="BV2" s="16"/>
      <c r="BW2" s="16"/>
      <c r="BX2" s="16"/>
      <c r="BY2" s="16"/>
      <c r="BZ2" s="16"/>
      <c r="CA2" s="16"/>
      <c r="CB2" s="16"/>
      <c r="CC2" s="16">
        <v>2675</v>
      </c>
      <c r="CD2" s="16">
        <v>5</v>
      </c>
      <c r="CE2" s="16">
        <v>21</v>
      </c>
      <c r="CF2" s="16">
        <v>1618</v>
      </c>
      <c r="CG2" s="16">
        <v>1</v>
      </c>
      <c r="CH2" s="16"/>
      <c r="CI2" s="16"/>
      <c r="CJ2" s="16"/>
      <c r="CK2" s="16"/>
      <c r="CL2" s="16"/>
      <c r="CM2" s="16"/>
      <c r="CN2" s="16"/>
      <c r="CO2" s="16"/>
      <c r="CP2" s="16">
        <v>7431</v>
      </c>
      <c r="CQ2" s="16">
        <v>2</v>
      </c>
      <c r="CR2" s="16">
        <v>19</v>
      </c>
      <c r="CS2" s="16">
        <v>2901</v>
      </c>
      <c r="CT2" s="16">
        <v>2</v>
      </c>
      <c r="CU2" s="16"/>
      <c r="CV2" s="11"/>
      <c r="CW2" s="11"/>
      <c r="CX2" s="11"/>
      <c r="CY2" s="11"/>
      <c r="CZ2" s="11"/>
      <c r="DA2" s="11"/>
      <c r="DB2" s="11"/>
      <c r="DC2" s="16">
        <v>16897</v>
      </c>
      <c r="DD2" s="16">
        <v>9</v>
      </c>
      <c r="DE2" s="16">
        <v>24</v>
      </c>
      <c r="DF2" s="16">
        <v>5801</v>
      </c>
      <c r="DG2" s="16">
        <v>5</v>
      </c>
      <c r="DH2" s="16"/>
      <c r="DI2" s="16"/>
      <c r="DJ2" s="16"/>
      <c r="DK2" s="16"/>
      <c r="DL2" s="16"/>
      <c r="DM2" s="16"/>
      <c r="DN2" s="11"/>
      <c r="DO2" s="11"/>
      <c r="DP2" s="16">
        <v>5165</v>
      </c>
      <c r="DQ2" s="16">
        <v>5</v>
      </c>
      <c r="DR2" s="16">
        <v>23</v>
      </c>
      <c r="DS2" s="16">
        <v>6662</v>
      </c>
      <c r="DT2" s="16">
        <v>3</v>
      </c>
      <c r="DU2" s="16"/>
      <c r="DV2" s="16"/>
      <c r="DW2" s="16"/>
      <c r="DX2" s="16"/>
      <c r="DY2" s="16"/>
      <c r="DZ2" s="16"/>
      <c r="EA2" s="16"/>
      <c r="EB2" s="10"/>
      <c r="EC2" s="10">
        <v>12779</v>
      </c>
      <c r="ED2" s="10">
        <v>10</v>
      </c>
      <c r="EE2" s="10">
        <v>14</v>
      </c>
      <c r="EF2" s="10">
        <v>9281</v>
      </c>
      <c r="EG2" s="10">
        <v>12</v>
      </c>
      <c r="EH2" s="10"/>
      <c r="EI2" s="10"/>
      <c r="EJ2" s="10"/>
      <c r="EK2" s="10"/>
      <c r="EL2" s="10"/>
      <c r="EM2" s="10"/>
      <c r="EN2" s="10"/>
      <c r="EO2" s="10"/>
      <c r="EP2" s="10">
        <v>2835</v>
      </c>
      <c r="EQ2" s="10">
        <v>7</v>
      </c>
      <c r="ER2" s="10">
        <v>15</v>
      </c>
      <c r="ES2" s="10">
        <v>9517</v>
      </c>
      <c r="ET2" s="10">
        <v>9</v>
      </c>
      <c r="EU2" s="10"/>
      <c r="EV2" s="10"/>
      <c r="EW2" s="10"/>
      <c r="EX2" s="10"/>
      <c r="EY2" s="10"/>
      <c r="EZ2" s="10"/>
      <c r="FA2" s="10"/>
      <c r="FB2" s="10"/>
      <c r="FC2" s="56">
        <v>60000</v>
      </c>
      <c r="FD2" s="56">
        <v>75</v>
      </c>
      <c r="FE2" s="56">
        <v>190</v>
      </c>
      <c r="FF2" s="56">
        <v>45000</v>
      </c>
      <c r="FG2" s="56">
        <v>60</v>
      </c>
      <c r="FH2" s="56"/>
      <c r="FI2" s="56"/>
      <c r="FJ2" s="56"/>
      <c r="FK2" s="56"/>
      <c r="FL2" s="56"/>
      <c r="FM2" s="56"/>
      <c r="FN2" s="56"/>
      <c r="FO2" s="56"/>
    </row>
    <row r="3" spans="1:171" x14ac:dyDescent="0.25">
      <c r="A3" s="29">
        <v>2</v>
      </c>
      <c r="B3" s="27" t="s">
        <v>4</v>
      </c>
      <c r="C3" s="16">
        <v>1322</v>
      </c>
      <c r="D3" s="16">
        <v>2224</v>
      </c>
      <c r="E3" s="16">
        <v>3818</v>
      </c>
      <c r="F3" s="16">
        <v>30</v>
      </c>
      <c r="G3" s="16">
        <v>5125</v>
      </c>
      <c r="H3" s="16">
        <v>9</v>
      </c>
      <c r="I3" s="16">
        <v>213</v>
      </c>
      <c r="J3" s="16">
        <v>1000</v>
      </c>
      <c r="K3" s="11"/>
      <c r="L3" s="11"/>
      <c r="M3" s="11"/>
      <c r="N3" s="11"/>
      <c r="O3" s="11"/>
      <c r="P3" s="16">
        <v>1045</v>
      </c>
      <c r="Q3" s="16">
        <v>2798</v>
      </c>
      <c r="R3" s="16">
        <v>4175</v>
      </c>
      <c r="S3" s="16">
        <v>30</v>
      </c>
      <c r="T3" s="16">
        <v>5150</v>
      </c>
      <c r="U3" s="16">
        <v>9</v>
      </c>
      <c r="V3" s="16">
        <v>225</v>
      </c>
      <c r="W3" s="16">
        <v>1150</v>
      </c>
      <c r="X3" s="16"/>
      <c r="Y3" s="16"/>
      <c r="Z3" s="16"/>
      <c r="AA3" s="16"/>
      <c r="AB3" s="16"/>
      <c r="AC3" s="16">
        <v>998</v>
      </c>
      <c r="AD3" s="16">
        <v>2070</v>
      </c>
      <c r="AE3" s="16">
        <v>5270</v>
      </c>
      <c r="AF3" s="16">
        <v>30</v>
      </c>
      <c r="AG3" s="16">
        <v>5115</v>
      </c>
      <c r="AH3" s="16">
        <v>9</v>
      </c>
      <c r="AI3" s="16">
        <v>225</v>
      </c>
      <c r="AJ3" s="16">
        <v>1150</v>
      </c>
      <c r="AK3" s="16"/>
      <c r="AL3" s="16"/>
      <c r="AM3" s="16"/>
      <c r="AN3" s="16"/>
      <c r="AO3" s="16"/>
      <c r="AP3" s="16">
        <v>1388</v>
      </c>
      <c r="AQ3" s="16">
        <v>3066</v>
      </c>
      <c r="AR3" s="16">
        <v>4353</v>
      </c>
      <c r="AS3" s="16">
        <v>30</v>
      </c>
      <c r="AT3" s="16">
        <v>5150</v>
      </c>
      <c r="AU3" s="16">
        <v>9</v>
      </c>
      <c r="AV3" s="16">
        <v>225</v>
      </c>
      <c r="AW3" s="16">
        <v>1000</v>
      </c>
      <c r="AX3" s="16"/>
      <c r="AY3" s="16"/>
      <c r="AZ3" s="16"/>
      <c r="BA3" s="16"/>
      <c r="BB3" s="16"/>
      <c r="BC3" s="16">
        <v>776</v>
      </c>
      <c r="BD3" s="16">
        <v>2039</v>
      </c>
      <c r="BE3" s="16">
        <v>3359</v>
      </c>
      <c r="BF3" s="16">
        <v>30</v>
      </c>
      <c r="BG3" s="16">
        <v>5150</v>
      </c>
      <c r="BH3" s="16">
        <v>9</v>
      </c>
      <c r="BI3" s="16">
        <v>225</v>
      </c>
      <c r="BJ3" s="16">
        <v>1430</v>
      </c>
      <c r="BK3" s="16"/>
      <c r="BL3" s="16"/>
      <c r="BM3" s="16"/>
      <c r="BN3" s="16"/>
      <c r="BO3" s="16"/>
      <c r="BP3" s="16">
        <v>629</v>
      </c>
      <c r="BQ3" s="16">
        <v>2969</v>
      </c>
      <c r="BR3" s="16">
        <v>3964</v>
      </c>
      <c r="BS3" s="16">
        <v>30</v>
      </c>
      <c r="BT3" s="16">
        <v>5150</v>
      </c>
      <c r="BU3" s="16">
        <v>9</v>
      </c>
      <c r="BV3" s="16">
        <v>225</v>
      </c>
      <c r="BW3" s="16">
        <v>1480</v>
      </c>
      <c r="BX3" s="16"/>
      <c r="BY3" s="16"/>
      <c r="BZ3" s="16"/>
      <c r="CA3" s="16"/>
      <c r="CB3" s="16"/>
      <c r="CC3" s="16">
        <v>1282</v>
      </c>
      <c r="CD3" s="16">
        <v>3086</v>
      </c>
      <c r="CE3" s="16">
        <v>3671</v>
      </c>
      <c r="CF3" s="16">
        <v>29</v>
      </c>
      <c r="CG3" s="16">
        <v>5125</v>
      </c>
      <c r="CH3" s="16">
        <v>9</v>
      </c>
      <c r="CI3" s="16">
        <v>225</v>
      </c>
      <c r="CJ3" s="16">
        <v>1430</v>
      </c>
      <c r="CK3" s="16"/>
      <c r="CL3" s="16"/>
      <c r="CM3" s="16"/>
      <c r="CN3" s="16"/>
      <c r="CO3" s="16"/>
      <c r="CP3" s="16">
        <v>1203</v>
      </c>
      <c r="CQ3" s="16">
        <v>3184</v>
      </c>
      <c r="CR3" s="16">
        <v>3639</v>
      </c>
      <c r="CS3" s="16">
        <v>29</v>
      </c>
      <c r="CT3" s="16">
        <v>5125</v>
      </c>
      <c r="CU3" s="16">
        <v>9</v>
      </c>
      <c r="CV3" s="16">
        <v>225</v>
      </c>
      <c r="CW3" s="16">
        <v>1430</v>
      </c>
      <c r="CX3" s="11"/>
      <c r="CY3" s="11"/>
      <c r="CZ3" s="11"/>
      <c r="DA3" s="11"/>
      <c r="DB3" s="11"/>
      <c r="DC3" s="10">
        <v>1398</v>
      </c>
      <c r="DD3" s="10">
        <v>2936</v>
      </c>
      <c r="DE3" s="10">
        <v>5057</v>
      </c>
      <c r="DF3" s="10">
        <v>30</v>
      </c>
      <c r="DG3" s="10">
        <v>5210</v>
      </c>
      <c r="DH3" s="10">
        <v>9</v>
      </c>
      <c r="DI3" s="10">
        <v>225</v>
      </c>
      <c r="DJ3" s="10">
        <v>1430</v>
      </c>
      <c r="DK3" s="11"/>
      <c r="DL3" s="11"/>
      <c r="DM3" s="11"/>
      <c r="DN3" s="11"/>
      <c r="DO3" s="11"/>
      <c r="DP3" s="16">
        <v>862</v>
      </c>
      <c r="DQ3" s="16">
        <v>3353</v>
      </c>
      <c r="DR3" s="16">
        <v>6310</v>
      </c>
      <c r="DS3" s="16">
        <v>30</v>
      </c>
      <c r="DT3" s="16">
        <v>5160</v>
      </c>
      <c r="DU3" s="16">
        <v>7</v>
      </c>
      <c r="DV3" s="16">
        <v>175</v>
      </c>
      <c r="DW3" s="16">
        <v>1480</v>
      </c>
      <c r="DX3" s="16"/>
      <c r="DY3" s="16"/>
      <c r="DZ3" s="16"/>
      <c r="EA3" s="16"/>
      <c r="EB3" s="16"/>
      <c r="EC3" s="16">
        <v>1651</v>
      </c>
      <c r="ED3" s="16">
        <v>3757</v>
      </c>
      <c r="EE3" s="16">
        <v>12823</v>
      </c>
      <c r="EF3" s="16">
        <v>30</v>
      </c>
      <c r="EG3" s="16">
        <v>5210</v>
      </c>
      <c r="EH3" s="16">
        <v>7</v>
      </c>
      <c r="EI3" s="16">
        <v>175</v>
      </c>
      <c r="EJ3" s="16">
        <v>1430</v>
      </c>
      <c r="EK3" s="16"/>
      <c r="EL3" s="16"/>
      <c r="EM3" s="16"/>
      <c r="EN3" s="16"/>
      <c r="EO3" s="16"/>
      <c r="EP3" s="16">
        <v>1316</v>
      </c>
      <c r="EQ3" s="16">
        <v>5154</v>
      </c>
      <c r="ER3" s="16">
        <v>2678</v>
      </c>
      <c r="ES3" s="16">
        <v>30</v>
      </c>
      <c r="ET3" s="16">
        <v>6218</v>
      </c>
      <c r="EU3" s="16">
        <v>7</v>
      </c>
      <c r="EV3" s="16">
        <v>175</v>
      </c>
      <c r="EW3" s="16">
        <v>1530</v>
      </c>
      <c r="EX3" s="16"/>
      <c r="EY3" s="16"/>
      <c r="EZ3" s="16"/>
      <c r="FA3" s="16"/>
      <c r="FB3" s="16"/>
      <c r="FC3" s="56">
        <v>15000</v>
      </c>
      <c r="FD3" s="56">
        <v>37000</v>
      </c>
      <c r="FE3" s="56">
        <v>65000</v>
      </c>
      <c r="FF3" s="56">
        <v>30</v>
      </c>
      <c r="FG3" s="56">
        <v>57000</v>
      </c>
      <c r="FH3" s="56">
        <v>6</v>
      </c>
      <c r="FI3" s="56">
        <v>1700</v>
      </c>
      <c r="FJ3" s="56">
        <v>7500</v>
      </c>
      <c r="FK3" s="56"/>
      <c r="FL3" s="56"/>
      <c r="FM3" s="56"/>
      <c r="FN3" s="56"/>
      <c r="FO3" s="56"/>
    </row>
    <row r="4" spans="1:171" x14ac:dyDescent="0.25">
      <c r="A4" s="29">
        <v>3</v>
      </c>
      <c r="B4" s="27" t="s">
        <v>235</v>
      </c>
      <c r="C4" s="16">
        <v>299</v>
      </c>
      <c r="D4" s="16">
        <v>14.2</v>
      </c>
      <c r="E4" s="16">
        <v>159</v>
      </c>
      <c r="F4" s="16">
        <v>52</v>
      </c>
      <c r="G4" s="16">
        <v>1</v>
      </c>
      <c r="H4" s="16">
        <v>18</v>
      </c>
      <c r="I4" s="16">
        <v>1</v>
      </c>
      <c r="J4" s="16">
        <v>10</v>
      </c>
      <c r="K4" s="11"/>
      <c r="L4" s="9"/>
      <c r="M4" s="9"/>
      <c r="N4" s="9"/>
      <c r="O4" s="9"/>
      <c r="P4" s="16">
        <v>254</v>
      </c>
      <c r="Q4" s="16">
        <v>11</v>
      </c>
      <c r="R4" s="16">
        <v>131</v>
      </c>
      <c r="S4" s="16">
        <v>53</v>
      </c>
      <c r="T4" s="16">
        <v>0</v>
      </c>
      <c r="U4" s="16">
        <v>7</v>
      </c>
      <c r="V4" s="16">
        <v>19</v>
      </c>
      <c r="W4" s="16">
        <v>47</v>
      </c>
      <c r="X4" s="16"/>
      <c r="Y4" s="16"/>
      <c r="Z4" s="16"/>
      <c r="AA4" s="16"/>
      <c r="AB4" s="16"/>
      <c r="AC4" s="16">
        <v>196</v>
      </c>
      <c r="AD4" s="16">
        <v>10.9</v>
      </c>
      <c r="AE4" s="16">
        <v>98</v>
      </c>
      <c r="AF4" s="16">
        <v>36</v>
      </c>
      <c r="AG4" s="16">
        <v>1</v>
      </c>
      <c r="AH4" s="16">
        <v>10</v>
      </c>
      <c r="AI4" s="16">
        <v>15</v>
      </c>
      <c r="AJ4" s="16">
        <v>27</v>
      </c>
      <c r="AK4" s="16"/>
      <c r="AL4" s="16"/>
      <c r="AM4" s="16"/>
      <c r="AN4" s="16"/>
      <c r="AO4" s="16"/>
      <c r="AP4" s="16">
        <v>291</v>
      </c>
      <c r="AQ4" s="16">
        <v>12.6</v>
      </c>
      <c r="AR4" s="16">
        <v>127</v>
      </c>
      <c r="AS4" s="16">
        <v>30</v>
      </c>
      <c r="AT4" s="16">
        <v>1</v>
      </c>
      <c r="AU4" s="16">
        <v>6</v>
      </c>
      <c r="AV4" s="16">
        <v>12</v>
      </c>
      <c r="AW4" s="16">
        <v>73</v>
      </c>
      <c r="AX4" s="16"/>
      <c r="AY4" s="16"/>
      <c r="AZ4" s="16"/>
      <c r="BA4" s="16"/>
      <c r="BB4" s="16"/>
      <c r="BC4" s="16">
        <v>210</v>
      </c>
      <c r="BD4" s="16">
        <v>11.1</v>
      </c>
      <c r="BE4" s="16">
        <v>91</v>
      </c>
      <c r="BF4" s="16">
        <v>30</v>
      </c>
      <c r="BG4" s="16">
        <v>1</v>
      </c>
      <c r="BH4" s="16">
        <v>8</v>
      </c>
      <c r="BI4" s="16">
        <v>22</v>
      </c>
      <c r="BJ4" s="16">
        <v>36</v>
      </c>
      <c r="BK4" s="16"/>
      <c r="BL4" s="16"/>
      <c r="BM4" s="16"/>
      <c r="BN4" s="16"/>
      <c r="BO4" s="16"/>
      <c r="BP4" s="16">
        <v>241</v>
      </c>
      <c r="BQ4" s="16">
        <v>13.4</v>
      </c>
      <c r="BR4" s="16">
        <v>88</v>
      </c>
      <c r="BS4" s="16">
        <v>22</v>
      </c>
      <c r="BT4" s="16">
        <v>0</v>
      </c>
      <c r="BU4" s="16">
        <v>9</v>
      </c>
      <c r="BV4" s="16">
        <v>9</v>
      </c>
      <c r="BW4" s="16">
        <v>39</v>
      </c>
      <c r="BX4" s="16"/>
      <c r="BY4" s="16"/>
      <c r="BZ4" s="16"/>
      <c r="CA4" s="16"/>
      <c r="CB4" s="16"/>
      <c r="CC4" s="16">
        <v>145</v>
      </c>
      <c r="CD4" s="16">
        <v>6.9</v>
      </c>
      <c r="CE4" s="16">
        <v>76</v>
      </c>
      <c r="CF4" s="16">
        <v>45</v>
      </c>
      <c r="CG4" s="16">
        <v>1</v>
      </c>
      <c r="CH4" s="16">
        <v>10</v>
      </c>
      <c r="CI4" s="16">
        <v>22</v>
      </c>
      <c r="CJ4" s="16">
        <v>15</v>
      </c>
      <c r="CK4" s="16"/>
      <c r="CL4" s="16"/>
      <c r="CM4" s="16"/>
      <c r="CN4" s="16"/>
      <c r="CO4" s="16"/>
      <c r="CP4" s="16">
        <v>190</v>
      </c>
      <c r="CQ4" s="16">
        <v>9.5</v>
      </c>
      <c r="CR4" s="16">
        <v>91</v>
      </c>
      <c r="CS4" s="16">
        <v>30</v>
      </c>
      <c r="CT4" s="16">
        <v>1</v>
      </c>
      <c r="CU4" s="16">
        <v>8</v>
      </c>
      <c r="CV4" s="16">
        <v>24</v>
      </c>
      <c r="CW4" s="16">
        <v>24</v>
      </c>
      <c r="CX4" s="11"/>
      <c r="CY4" s="11"/>
      <c r="CZ4" s="11"/>
      <c r="DA4" s="11"/>
      <c r="DB4" s="11"/>
      <c r="DC4" s="16">
        <v>287</v>
      </c>
      <c r="DD4" s="16">
        <v>13.7</v>
      </c>
      <c r="DE4" s="16">
        <v>150</v>
      </c>
      <c r="DF4" s="16">
        <v>100</v>
      </c>
      <c r="DG4" s="16">
        <v>3</v>
      </c>
      <c r="DH4" s="16">
        <v>13</v>
      </c>
      <c r="DI4" s="16">
        <v>15</v>
      </c>
      <c r="DJ4" s="16">
        <v>15</v>
      </c>
      <c r="DK4" s="16"/>
      <c r="DL4" s="16"/>
      <c r="DM4" s="11"/>
      <c r="DN4" s="11"/>
      <c r="DO4" s="11"/>
      <c r="DP4" s="16">
        <v>234</v>
      </c>
      <c r="DQ4" s="16">
        <v>11.1</v>
      </c>
      <c r="DR4" s="16">
        <v>117</v>
      </c>
      <c r="DS4" s="16">
        <v>62</v>
      </c>
      <c r="DT4" s="16">
        <v>0</v>
      </c>
      <c r="DU4" s="16">
        <v>19</v>
      </c>
      <c r="DV4" s="16">
        <v>23</v>
      </c>
      <c r="DW4" s="16">
        <v>14</v>
      </c>
      <c r="DX4" s="16"/>
      <c r="DY4" s="16"/>
      <c r="DZ4" s="16"/>
      <c r="EA4" s="16"/>
      <c r="EB4" s="16"/>
      <c r="EC4" s="16">
        <v>311</v>
      </c>
      <c r="ED4" s="10">
        <v>14.1</v>
      </c>
      <c r="EE4" s="16">
        <v>162</v>
      </c>
      <c r="EF4" s="10">
        <v>98</v>
      </c>
      <c r="EG4" s="10">
        <v>1</v>
      </c>
      <c r="EH4" s="10">
        <v>18</v>
      </c>
      <c r="EI4" s="10">
        <v>11</v>
      </c>
      <c r="EJ4" s="10">
        <v>30</v>
      </c>
      <c r="EK4" s="10"/>
      <c r="EL4" s="10"/>
      <c r="EM4" s="10"/>
      <c r="EN4" s="10"/>
      <c r="EO4" s="10"/>
      <c r="EP4" s="10">
        <v>418</v>
      </c>
      <c r="EQ4" s="10">
        <v>20.9</v>
      </c>
      <c r="ER4" s="10">
        <v>214</v>
      </c>
      <c r="ES4" s="10">
        <v>143</v>
      </c>
      <c r="ET4" s="10">
        <v>1</v>
      </c>
      <c r="EU4" s="10">
        <v>10</v>
      </c>
      <c r="EV4" s="10">
        <v>26</v>
      </c>
      <c r="EW4" s="10">
        <v>31</v>
      </c>
      <c r="EX4" s="10"/>
      <c r="EY4" s="10"/>
      <c r="EZ4" s="10"/>
      <c r="FA4" s="10"/>
      <c r="FB4" s="10"/>
      <c r="FC4" s="56">
        <v>3000</v>
      </c>
      <c r="FD4" s="56">
        <v>12.5</v>
      </c>
      <c r="FE4" s="56">
        <v>1575</v>
      </c>
      <c r="FF4" s="56">
        <v>135</v>
      </c>
      <c r="FG4" s="56">
        <v>15</v>
      </c>
      <c r="FH4" s="56">
        <v>120</v>
      </c>
      <c r="FI4" s="56"/>
      <c r="FJ4" s="56"/>
      <c r="FK4" s="56"/>
      <c r="FL4" s="56"/>
      <c r="FM4" s="56"/>
      <c r="FN4" s="56"/>
      <c r="FO4" s="56"/>
    </row>
    <row r="5" spans="1:171" x14ac:dyDescent="0.25">
      <c r="A5" s="29">
        <v>4</v>
      </c>
      <c r="B5" s="27" t="s">
        <v>5</v>
      </c>
      <c r="C5" s="10">
        <v>41525</v>
      </c>
      <c r="D5" s="10">
        <v>1777</v>
      </c>
      <c r="E5" s="10">
        <v>130</v>
      </c>
      <c r="F5" s="10">
        <v>123</v>
      </c>
      <c r="G5" s="16"/>
      <c r="H5" s="16"/>
      <c r="I5" s="16"/>
      <c r="J5" s="16"/>
      <c r="K5" s="16"/>
      <c r="L5" s="10"/>
      <c r="M5" s="10"/>
      <c r="N5" s="10"/>
      <c r="O5" s="10"/>
      <c r="P5" s="10">
        <v>41611</v>
      </c>
      <c r="Q5" s="10">
        <v>1939</v>
      </c>
      <c r="R5" s="10">
        <v>215</v>
      </c>
      <c r="S5" s="10">
        <v>126</v>
      </c>
      <c r="T5" s="16"/>
      <c r="U5" s="10"/>
      <c r="V5" s="10"/>
      <c r="W5" s="10"/>
      <c r="X5" s="10"/>
      <c r="Y5" s="10"/>
      <c r="Z5" s="10"/>
      <c r="AA5" s="10"/>
      <c r="AB5" s="10"/>
      <c r="AC5" s="10">
        <v>41672</v>
      </c>
      <c r="AD5" s="10">
        <v>2337</v>
      </c>
      <c r="AE5" s="10">
        <v>190</v>
      </c>
      <c r="AF5" s="10">
        <v>130</v>
      </c>
      <c r="AG5" s="10"/>
      <c r="AH5" s="10"/>
      <c r="AI5" s="10"/>
      <c r="AJ5" s="10"/>
      <c r="AK5" s="10"/>
      <c r="AL5" s="10"/>
      <c r="AM5" s="10"/>
      <c r="AN5" s="10"/>
      <c r="AO5" s="10"/>
      <c r="AP5" s="10">
        <v>41856</v>
      </c>
      <c r="AQ5" s="10">
        <v>2615</v>
      </c>
      <c r="AR5" s="10">
        <v>398</v>
      </c>
      <c r="AS5" s="10">
        <v>214</v>
      </c>
      <c r="AT5" s="10"/>
      <c r="AU5" s="10"/>
      <c r="AV5" s="10"/>
      <c r="AW5" s="10">
        <v>147</v>
      </c>
      <c r="AX5" s="10"/>
      <c r="AY5" s="10"/>
      <c r="AZ5" s="10"/>
      <c r="BA5" s="10"/>
      <c r="BB5" s="10"/>
      <c r="BC5" s="10">
        <v>41945</v>
      </c>
      <c r="BD5" s="10">
        <v>2976</v>
      </c>
      <c r="BE5" s="10">
        <v>257</v>
      </c>
      <c r="BF5" s="10">
        <v>176</v>
      </c>
      <c r="BG5" s="10">
        <v>40.85</v>
      </c>
      <c r="BH5" s="10">
        <v>54.12</v>
      </c>
      <c r="BI5" s="10">
        <v>6</v>
      </c>
      <c r="BJ5" s="10">
        <v>0</v>
      </c>
      <c r="BK5" s="10"/>
      <c r="BL5" s="10"/>
      <c r="BM5" s="10"/>
      <c r="BN5" s="10"/>
      <c r="BO5" s="10"/>
      <c r="BP5" s="10">
        <v>42094</v>
      </c>
      <c r="BQ5" s="10">
        <v>4753</v>
      </c>
      <c r="BR5" s="10">
        <v>320</v>
      </c>
      <c r="BS5" s="10">
        <v>171</v>
      </c>
      <c r="BT5" s="10"/>
      <c r="BU5" s="10"/>
      <c r="BV5" s="10"/>
      <c r="BW5" s="10"/>
      <c r="BX5" s="10"/>
      <c r="BY5" s="10"/>
      <c r="BZ5" s="10"/>
      <c r="CA5" s="10"/>
      <c r="CB5" s="10"/>
      <c r="CC5" s="10">
        <v>39315</v>
      </c>
      <c r="CD5" s="10">
        <v>8044</v>
      </c>
      <c r="CE5" s="10">
        <v>192</v>
      </c>
      <c r="CF5" s="10">
        <v>3036</v>
      </c>
      <c r="CG5" s="10"/>
      <c r="CH5" s="10"/>
      <c r="CI5" s="10"/>
      <c r="CJ5" s="10"/>
      <c r="CK5" s="10"/>
      <c r="CL5" s="10"/>
      <c r="CM5" s="10"/>
      <c r="CN5" s="10"/>
      <c r="CO5" s="10"/>
      <c r="CP5" s="10">
        <v>39451</v>
      </c>
      <c r="CQ5" s="10">
        <v>4052</v>
      </c>
      <c r="CR5" s="10">
        <v>172</v>
      </c>
      <c r="CS5" s="10">
        <v>132</v>
      </c>
      <c r="CT5" s="10"/>
      <c r="CU5" s="10"/>
      <c r="CV5" s="10"/>
      <c r="CW5" s="10"/>
      <c r="CX5" s="10"/>
      <c r="CY5" s="10"/>
      <c r="CZ5" s="10"/>
      <c r="DA5" s="10"/>
      <c r="DB5" s="10"/>
      <c r="DC5" s="10">
        <v>39480</v>
      </c>
      <c r="DD5" s="10">
        <v>5681</v>
      </c>
      <c r="DE5" s="10">
        <v>158</v>
      </c>
      <c r="DF5" s="10">
        <v>121</v>
      </c>
      <c r="DG5" s="10"/>
      <c r="DH5" s="10"/>
      <c r="DI5" s="10"/>
      <c r="DJ5" s="10"/>
      <c r="DK5" s="10"/>
      <c r="DL5" s="10"/>
      <c r="DM5" s="10"/>
      <c r="DN5" s="10"/>
      <c r="DO5" s="10"/>
      <c r="DP5" s="10">
        <v>39613</v>
      </c>
      <c r="DQ5" s="10">
        <v>2686</v>
      </c>
      <c r="DR5" s="10">
        <v>228</v>
      </c>
      <c r="DS5" s="10">
        <v>99</v>
      </c>
      <c r="DT5" s="10"/>
      <c r="DU5" s="10"/>
      <c r="DV5" s="10"/>
      <c r="DW5" s="10"/>
      <c r="DX5" s="10"/>
      <c r="DY5" s="10"/>
      <c r="DZ5" s="10"/>
      <c r="EA5" s="10"/>
      <c r="EB5" s="10"/>
      <c r="EC5" s="10">
        <v>39748</v>
      </c>
      <c r="ED5" s="10">
        <v>4776</v>
      </c>
      <c r="EE5" s="10">
        <v>198</v>
      </c>
      <c r="EF5" s="10">
        <v>80</v>
      </c>
      <c r="EG5" s="10"/>
      <c r="EH5" s="10"/>
      <c r="EI5" s="10"/>
      <c r="EJ5" s="10"/>
      <c r="EK5" s="10"/>
      <c r="EL5" s="10"/>
      <c r="EM5" s="10"/>
      <c r="EN5" s="10"/>
      <c r="EO5" s="10"/>
      <c r="EP5" s="10">
        <v>39873</v>
      </c>
      <c r="EQ5" s="10">
        <v>6850</v>
      </c>
      <c r="ER5" s="10">
        <v>204</v>
      </c>
      <c r="ES5" s="10">
        <v>86</v>
      </c>
      <c r="ET5" s="10"/>
      <c r="EU5" s="10"/>
      <c r="EV5" s="10"/>
      <c r="EW5" s="10"/>
      <c r="EX5" s="10"/>
      <c r="EY5" s="10"/>
      <c r="EZ5" s="10"/>
      <c r="FA5" s="10"/>
      <c r="FB5" s="10"/>
      <c r="FC5" s="56">
        <v>40500</v>
      </c>
      <c r="FD5" s="56">
        <v>35000</v>
      </c>
      <c r="FE5" s="56">
        <v>2500</v>
      </c>
      <c r="FF5" s="56">
        <v>2000</v>
      </c>
      <c r="FG5" s="56">
        <v>50</v>
      </c>
      <c r="FH5" s="56">
        <v>60</v>
      </c>
      <c r="FI5" s="56">
        <v>6</v>
      </c>
      <c r="FJ5" s="56">
        <v>350</v>
      </c>
      <c r="FK5" s="56"/>
      <c r="FL5" s="56"/>
      <c r="FM5" s="56"/>
      <c r="FN5" s="56"/>
      <c r="FO5" s="56"/>
    </row>
    <row r="6" spans="1:171" x14ac:dyDescent="0.25">
      <c r="A6" s="29">
        <v>5</v>
      </c>
      <c r="B6" s="27" t="s">
        <v>428</v>
      </c>
      <c r="C6" s="10">
        <v>1872</v>
      </c>
      <c r="D6" s="10">
        <v>3.13</v>
      </c>
      <c r="E6" s="10">
        <v>311</v>
      </c>
      <c r="F6" s="10">
        <v>0.52</v>
      </c>
      <c r="G6" s="16">
        <v>1.35</v>
      </c>
      <c r="H6" s="16"/>
      <c r="I6" s="16"/>
      <c r="J6" s="16"/>
      <c r="K6" s="16"/>
      <c r="L6" s="10"/>
      <c r="M6" s="10"/>
      <c r="N6" s="10"/>
      <c r="O6" s="10"/>
      <c r="P6" s="10">
        <v>2169</v>
      </c>
      <c r="Q6" s="10">
        <v>3.31</v>
      </c>
      <c r="R6" s="10">
        <v>363</v>
      </c>
      <c r="S6" s="10">
        <v>0.55000000000000004</v>
      </c>
      <c r="T6" s="16">
        <v>0.2</v>
      </c>
      <c r="U6" s="10"/>
      <c r="V6" s="10"/>
      <c r="W6" s="10"/>
      <c r="X6" s="10"/>
      <c r="Y6" s="10"/>
      <c r="Z6" s="10"/>
      <c r="AA6" s="10"/>
      <c r="AB6" s="10"/>
      <c r="AC6" s="10">
        <v>1445</v>
      </c>
      <c r="AD6" s="10">
        <v>2.81</v>
      </c>
      <c r="AE6" s="10">
        <v>234</v>
      </c>
      <c r="AF6" s="10">
        <v>0.46</v>
      </c>
      <c r="AG6" s="10">
        <v>3.1</v>
      </c>
      <c r="AH6" s="10"/>
      <c r="AI6" s="10"/>
      <c r="AJ6" s="10"/>
      <c r="AK6" s="10"/>
      <c r="AL6" s="10"/>
      <c r="AM6" s="10"/>
      <c r="AN6" s="10"/>
      <c r="AO6" s="10"/>
      <c r="AP6" s="10">
        <v>1764</v>
      </c>
      <c r="AQ6" s="10">
        <v>2.69</v>
      </c>
      <c r="AR6" s="10">
        <v>375</v>
      </c>
      <c r="AS6" s="10">
        <v>0.56999999999999995</v>
      </c>
      <c r="AT6" s="10">
        <v>2</v>
      </c>
      <c r="AU6" s="10"/>
      <c r="AV6" s="10"/>
      <c r="AW6" s="10"/>
      <c r="AX6" s="10"/>
      <c r="AY6" s="10"/>
      <c r="AZ6" s="10"/>
      <c r="BA6" s="10"/>
      <c r="BB6" s="10"/>
      <c r="BC6" s="10">
        <v>1503</v>
      </c>
      <c r="BD6" s="10">
        <v>2.8</v>
      </c>
      <c r="BE6" s="10">
        <v>306</v>
      </c>
      <c r="BF6" s="10">
        <v>0.56999999999999995</v>
      </c>
      <c r="BG6" s="10">
        <v>0.15</v>
      </c>
      <c r="BH6" s="10"/>
      <c r="BI6" s="10"/>
      <c r="BJ6" s="10"/>
      <c r="BK6" s="10"/>
      <c r="BL6" s="10"/>
      <c r="BM6" s="10"/>
      <c r="BN6" s="10"/>
      <c r="BO6" s="10"/>
      <c r="BP6" s="10">
        <v>1315</v>
      </c>
      <c r="BQ6" s="10">
        <v>2.66</v>
      </c>
      <c r="BR6" s="10">
        <v>287</v>
      </c>
      <c r="BS6" s="10">
        <v>0.57999999999999996</v>
      </c>
      <c r="BT6" s="10">
        <v>0.3</v>
      </c>
      <c r="BU6" s="10"/>
      <c r="BV6" s="10"/>
      <c r="BW6" s="10"/>
      <c r="BX6" s="10"/>
      <c r="BY6" s="10"/>
      <c r="BZ6" s="10"/>
      <c r="CA6" s="10"/>
      <c r="CB6" s="10"/>
      <c r="CC6" s="10">
        <v>1760</v>
      </c>
      <c r="CD6" s="10">
        <v>2.94</v>
      </c>
      <c r="CE6" s="10">
        <v>365</v>
      </c>
      <c r="CF6" s="10">
        <v>0.61</v>
      </c>
      <c r="CG6" s="10">
        <v>1.1000000000000001</v>
      </c>
      <c r="CH6" s="10"/>
      <c r="CI6" s="10"/>
      <c r="CJ6" s="10"/>
      <c r="CK6" s="10"/>
      <c r="CL6" s="10"/>
      <c r="CM6" s="10"/>
      <c r="CN6" s="10"/>
      <c r="CO6" s="10"/>
      <c r="CP6" s="10">
        <v>1652</v>
      </c>
      <c r="CQ6" s="10">
        <v>3.17</v>
      </c>
      <c r="CR6" s="10">
        <v>327</v>
      </c>
      <c r="CS6" s="10">
        <v>0.63</v>
      </c>
      <c r="CT6" s="10">
        <v>0.3</v>
      </c>
      <c r="CU6" s="10"/>
      <c r="CV6" s="10"/>
      <c r="CW6" s="10"/>
      <c r="CX6" s="10"/>
      <c r="CY6" s="10"/>
      <c r="CZ6" s="10"/>
      <c r="DA6" s="10"/>
      <c r="DB6" s="10"/>
      <c r="DC6" s="10">
        <v>1787</v>
      </c>
      <c r="DD6" s="10">
        <v>3.1</v>
      </c>
      <c r="DE6" s="10">
        <v>373</v>
      </c>
      <c r="DF6" s="10">
        <v>0.65</v>
      </c>
      <c r="DG6" s="10">
        <v>0</v>
      </c>
      <c r="DH6" s="10"/>
      <c r="DI6" s="10"/>
      <c r="DJ6" s="10"/>
      <c r="DK6" s="10"/>
      <c r="DL6" s="10"/>
      <c r="DM6" s="10"/>
      <c r="DN6" s="10"/>
      <c r="DO6" s="10"/>
      <c r="DP6" s="10">
        <v>1921</v>
      </c>
      <c r="DQ6" s="10">
        <v>3.33</v>
      </c>
      <c r="DR6" s="10">
        <v>421</v>
      </c>
      <c r="DS6" s="10">
        <v>0.73</v>
      </c>
      <c r="DT6" s="10">
        <v>2</v>
      </c>
      <c r="DU6" s="10"/>
      <c r="DV6" s="10"/>
      <c r="DW6" s="10"/>
      <c r="DX6" s="10"/>
      <c r="DY6" s="10"/>
      <c r="DZ6" s="10"/>
      <c r="EA6" s="10"/>
      <c r="EB6" s="10"/>
      <c r="EC6" s="10">
        <v>2007</v>
      </c>
      <c r="ED6" s="10">
        <v>3.31</v>
      </c>
      <c r="EE6" s="10">
        <v>418</v>
      </c>
      <c r="EF6" s="10">
        <v>0.69</v>
      </c>
      <c r="EG6" s="10">
        <v>1</v>
      </c>
      <c r="EH6" s="10"/>
      <c r="EI6" s="10"/>
      <c r="EJ6" s="10"/>
      <c r="EK6" s="10"/>
      <c r="EL6" s="10"/>
      <c r="EM6" s="10"/>
      <c r="EN6" s="10"/>
      <c r="EO6" s="10"/>
      <c r="EP6" s="10">
        <v>1637</v>
      </c>
      <c r="EQ6" s="10">
        <v>3.27</v>
      </c>
      <c r="ER6" s="10">
        <v>397</v>
      </c>
      <c r="ES6" s="10">
        <v>0.72</v>
      </c>
      <c r="ET6" s="10">
        <v>0.15</v>
      </c>
      <c r="EU6" s="10"/>
      <c r="EV6" s="10"/>
      <c r="EW6" s="10"/>
      <c r="EX6" s="10"/>
      <c r="EY6" s="10"/>
      <c r="EZ6" s="10"/>
      <c r="FA6" s="10"/>
      <c r="FB6" s="10"/>
      <c r="FC6" s="56">
        <v>20000</v>
      </c>
      <c r="FD6" s="56">
        <v>4</v>
      </c>
      <c r="FE6" s="56">
        <v>3900</v>
      </c>
      <c r="FF6" s="56">
        <v>0.7</v>
      </c>
      <c r="FG6" s="56">
        <v>25</v>
      </c>
      <c r="FH6" s="56"/>
      <c r="FI6" s="56"/>
      <c r="FJ6" s="56"/>
      <c r="FK6" s="56"/>
      <c r="FL6" s="56"/>
      <c r="FM6" s="56"/>
      <c r="FN6" s="56"/>
      <c r="FO6" s="56"/>
    </row>
    <row r="7" spans="1:171" x14ac:dyDescent="0.25">
      <c r="A7" s="29">
        <v>6</v>
      </c>
      <c r="B7" s="27" t="s">
        <v>485</v>
      </c>
      <c r="C7" s="10">
        <v>1</v>
      </c>
      <c r="D7" s="10">
        <v>14</v>
      </c>
      <c r="E7" s="10">
        <v>3</v>
      </c>
      <c r="F7" s="10">
        <v>1</v>
      </c>
      <c r="G7" s="16">
        <v>6</v>
      </c>
      <c r="H7" s="16">
        <v>1</v>
      </c>
      <c r="I7" s="16">
        <v>0</v>
      </c>
      <c r="J7" s="16">
        <v>0</v>
      </c>
      <c r="K7" s="16">
        <v>0</v>
      </c>
      <c r="L7" s="10"/>
      <c r="M7" s="10"/>
      <c r="N7" s="10"/>
      <c r="O7" s="10"/>
      <c r="P7" s="10">
        <v>3</v>
      </c>
      <c r="Q7" s="10">
        <v>16</v>
      </c>
      <c r="R7" s="10">
        <v>4</v>
      </c>
      <c r="S7" s="10">
        <v>2</v>
      </c>
      <c r="T7" s="16">
        <v>7</v>
      </c>
      <c r="U7" s="10">
        <v>2</v>
      </c>
      <c r="V7" s="10">
        <v>0</v>
      </c>
      <c r="W7" s="10">
        <v>0</v>
      </c>
      <c r="X7" s="10">
        <v>0</v>
      </c>
      <c r="Y7" s="10"/>
      <c r="Z7" s="10"/>
      <c r="AA7" s="10"/>
      <c r="AB7" s="10"/>
      <c r="AC7" s="10">
        <v>2</v>
      </c>
      <c r="AD7" s="10">
        <v>16</v>
      </c>
      <c r="AE7" s="10">
        <v>5</v>
      </c>
      <c r="AF7" s="10">
        <v>2</v>
      </c>
      <c r="AG7" s="10">
        <v>6</v>
      </c>
      <c r="AH7" s="10">
        <v>2</v>
      </c>
      <c r="AI7" s="10">
        <v>1</v>
      </c>
      <c r="AJ7" s="10">
        <v>6</v>
      </c>
      <c r="AK7" s="10">
        <v>1.3</v>
      </c>
      <c r="AL7" s="10"/>
      <c r="AM7" s="10"/>
      <c r="AN7" s="10"/>
      <c r="AO7" s="10"/>
      <c r="AP7" s="10">
        <v>1</v>
      </c>
      <c r="AQ7" s="10">
        <v>15</v>
      </c>
      <c r="AR7" s="10">
        <v>8</v>
      </c>
      <c r="AS7" s="10">
        <v>1</v>
      </c>
      <c r="AT7" s="10">
        <v>4</v>
      </c>
      <c r="AU7" s="10">
        <v>4</v>
      </c>
      <c r="AV7" s="10">
        <v>1</v>
      </c>
      <c r="AW7" s="10">
        <v>44</v>
      </c>
      <c r="AX7" s="10">
        <v>4.2</v>
      </c>
      <c r="AY7" s="10"/>
      <c r="AZ7" s="10"/>
      <c r="BA7" s="10"/>
      <c r="BB7" s="10"/>
      <c r="BC7" s="10">
        <v>2</v>
      </c>
      <c r="BD7" s="10">
        <v>17</v>
      </c>
      <c r="BE7" s="10">
        <v>4</v>
      </c>
      <c r="BF7" s="10">
        <v>2</v>
      </c>
      <c r="BG7" s="10">
        <v>6</v>
      </c>
      <c r="BH7" s="10">
        <v>0</v>
      </c>
      <c r="BI7" s="10">
        <v>0</v>
      </c>
      <c r="BJ7" s="10">
        <v>0</v>
      </c>
      <c r="BK7" s="10"/>
      <c r="BL7" s="10"/>
      <c r="BM7" s="10"/>
      <c r="BN7" s="10"/>
      <c r="BO7" s="10"/>
      <c r="BP7" s="10">
        <v>1</v>
      </c>
      <c r="BQ7" s="10">
        <v>10</v>
      </c>
      <c r="BR7" s="10">
        <v>1</v>
      </c>
      <c r="BS7" s="10">
        <v>2</v>
      </c>
      <c r="BT7" s="10">
        <v>6</v>
      </c>
      <c r="BU7" s="10">
        <v>0</v>
      </c>
      <c r="BV7" s="10">
        <v>1</v>
      </c>
      <c r="BW7" s="10">
        <v>12</v>
      </c>
      <c r="BX7" s="10">
        <v>0.65</v>
      </c>
      <c r="BY7" s="10"/>
      <c r="BZ7" s="10"/>
      <c r="CA7" s="10"/>
      <c r="CB7" s="10"/>
      <c r="CC7" s="10">
        <v>1</v>
      </c>
      <c r="CD7" s="10">
        <v>9</v>
      </c>
      <c r="CE7" s="10">
        <v>2</v>
      </c>
      <c r="CF7" s="10">
        <v>2</v>
      </c>
      <c r="CG7" s="10">
        <v>4</v>
      </c>
      <c r="CH7" s="10">
        <v>2</v>
      </c>
      <c r="CI7" s="10">
        <v>0</v>
      </c>
      <c r="CJ7" s="10">
        <v>0</v>
      </c>
      <c r="CK7" s="10">
        <v>0</v>
      </c>
      <c r="CL7" s="10"/>
      <c r="CM7" s="10"/>
      <c r="CN7" s="10"/>
      <c r="CO7" s="10"/>
      <c r="CP7" s="10">
        <v>1</v>
      </c>
      <c r="CQ7" s="10">
        <v>10</v>
      </c>
      <c r="CR7" s="10">
        <v>8</v>
      </c>
      <c r="CS7" s="10">
        <v>0</v>
      </c>
      <c r="CT7" s="10">
        <v>5</v>
      </c>
      <c r="CU7" s="10">
        <v>2</v>
      </c>
      <c r="CV7" s="10">
        <v>0</v>
      </c>
      <c r="CW7" s="10">
        <v>0</v>
      </c>
      <c r="CX7" s="10">
        <v>0</v>
      </c>
      <c r="CY7" s="10"/>
      <c r="CZ7" s="10"/>
      <c r="DA7" s="10"/>
      <c r="DB7" s="10"/>
      <c r="DC7" s="10">
        <v>2</v>
      </c>
      <c r="DD7" s="10">
        <v>11</v>
      </c>
      <c r="DE7" s="10">
        <v>4</v>
      </c>
      <c r="DF7" s="10">
        <v>0</v>
      </c>
      <c r="DG7" s="10">
        <v>8</v>
      </c>
      <c r="DH7" s="10">
        <v>4</v>
      </c>
      <c r="DI7" s="10">
        <v>1</v>
      </c>
      <c r="DJ7" s="10">
        <v>18</v>
      </c>
      <c r="DK7" s="10">
        <v>1</v>
      </c>
      <c r="DL7" s="10"/>
      <c r="DM7" s="10"/>
      <c r="DN7" s="10"/>
      <c r="DO7" s="10"/>
      <c r="DP7" s="10">
        <v>1</v>
      </c>
      <c r="DQ7" s="33">
        <v>12</v>
      </c>
      <c r="DR7" s="33">
        <v>9</v>
      </c>
      <c r="DS7" s="10">
        <v>1</v>
      </c>
      <c r="DT7" s="10">
        <v>4</v>
      </c>
      <c r="DU7" s="10">
        <v>2</v>
      </c>
      <c r="DV7" s="10">
        <v>0</v>
      </c>
      <c r="DW7" s="10">
        <v>0</v>
      </c>
      <c r="DX7" s="10">
        <v>0</v>
      </c>
      <c r="DY7" s="10"/>
      <c r="DZ7" s="10"/>
      <c r="EA7" s="10"/>
      <c r="EB7" s="10"/>
      <c r="EC7" s="33">
        <v>2</v>
      </c>
      <c r="ED7" s="33">
        <v>13</v>
      </c>
      <c r="EE7" s="33">
        <v>0</v>
      </c>
      <c r="EF7" s="33">
        <v>1</v>
      </c>
      <c r="EG7" s="33">
        <v>4</v>
      </c>
      <c r="EH7" s="33">
        <v>2</v>
      </c>
      <c r="EI7" s="33">
        <v>0</v>
      </c>
      <c r="EJ7" s="33">
        <v>0</v>
      </c>
      <c r="EK7" s="33">
        <v>0</v>
      </c>
      <c r="EL7" s="33"/>
      <c r="EM7" s="33"/>
      <c r="EN7" s="10"/>
      <c r="EO7" s="10"/>
      <c r="EP7" s="10">
        <v>1</v>
      </c>
      <c r="EQ7" s="10">
        <v>14</v>
      </c>
      <c r="ER7" s="10">
        <v>5</v>
      </c>
      <c r="ES7" s="10">
        <v>1</v>
      </c>
      <c r="ET7" s="10">
        <v>4</v>
      </c>
      <c r="EU7" s="10">
        <v>2</v>
      </c>
      <c r="EV7" s="10">
        <v>0</v>
      </c>
      <c r="EW7" s="10">
        <v>0</v>
      </c>
      <c r="EX7" s="10">
        <v>0</v>
      </c>
      <c r="EY7" s="10"/>
      <c r="EZ7" s="10"/>
      <c r="FA7" s="10"/>
      <c r="FB7" s="10"/>
      <c r="FC7" s="56">
        <v>25</v>
      </c>
      <c r="FD7" s="56">
        <v>20</v>
      </c>
      <c r="FE7" s="56">
        <v>40</v>
      </c>
      <c r="FF7" s="56">
        <v>25</v>
      </c>
      <c r="FG7" s="56">
        <v>50</v>
      </c>
      <c r="FH7" s="56">
        <v>60</v>
      </c>
      <c r="FI7" s="56">
        <v>10</v>
      </c>
      <c r="FJ7" s="56">
        <v>200</v>
      </c>
      <c r="FK7" s="56">
        <v>10</v>
      </c>
      <c r="FL7" s="56"/>
      <c r="FM7" s="56"/>
      <c r="FN7" s="56"/>
      <c r="FO7" s="56"/>
    </row>
    <row r="8" spans="1:171" x14ac:dyDescent="0.25">
      <c r="A8" s="29">
        <v>7</v>
      </c>
      <c r="B8" s="27" t="s">
        <v>234</v>
      </c>
      <c r="C8" s="10">
        <v>71</v>
      </c>
      <c r="D8" s="10">
        <v>4</v>
      </c>
      <c r="E8" s="10">
        <v>3</v>
      </c>
      <c r="F8" s="10">
        <v>2</v>
      </c>
      <c r="G8" s="16">
        <v>1</v>
      </c>
      <c r="H8" s="16">
        <v>0</v>
      </c>
      <c r="I8" s="16">
        <v>11</v>
      </c>
      <c r="J8" s="16"/>
      <c r="K8" s="16"/>
      <c r="L8" s="10"/>
      <c r="M8" s="10"/>
      <c r="N8" s="10"/>
      <c r="O8" s="10"/>
      <c r="P8" s="10">
        <v>88</v>
      </c>
      <c r="Q8" s="10">
        <v>8</v>
      </c>
      <c r="R8" s="10">
        <v>5</v>
      </c>
      <c r="S8" s="10">
        <v>1</v>
      </c>
      <c r="T8" s="16">
        <v>3</v>
      </c>
      <c r="U8" s="10">
        <v>0</v>
      </c>
      <c r="V8" s="10">
        <v>0</v>
      </c>
      <c r="W8" s="10"/>
      <c r="X8" s="10"/>
      <c r="Y8" s="10"/>
      <c r="Z8" s="10"/>
      <c r="AA8" s="10"/>
      <c r="AB8" s="10"/>
      <c r="AC8" s="10">
        <v>51</v>
      </c>
      <c r="AD8" s="10">
        <v>4</v>
      </c>
      <c r="AE8" s="10">
        <v>3</v>
      </c>
      <c r="AF8" s="10">
        <v>0</v>
      </c>
      <c r="AG8" s="10">
        <v>4</v>
      </c>
      <c r="AH8" s="10">
        <v>0</v>
      </c>
      <c r="AI8" s="10">
        <v>0</v>
      </c>
      <c r="AJ8" s="10">
        <v>0</v>
      </c>
      <c r="AK8" s="10"/>
      <c r="AL8" s="10"/>
      <c r="AM8" s="10"/>
      <c r="AN8" s="10"/>
      <c r="AO8" s="10"/>
      <c r="AP8" s="10">
        <v>67</v>
      </c>
      <c r="AQ8" s="10">
        <v>10</v>
      </c>
      <c r="AR8" s="10">
        <v>6</v>
      </c>
      <c r="AS8" s="10">
        <v>3</v>
      </c>
      <c r="AT8" s="10">
        <v>1</v>
      </c>
      <c r="AU8" s="10">
        <v>0</v>
      </c>
      <c r="AV8" s="10">
        <v>0</v>
      </c>
      <c r="AW8" s="10"/>
      <c r="AX8" s="10"/>
      <c r="AY8" s="10"/>
      <c r="AZ8" s="10"/>
      <c r="BA8" s="10"/>
      <c r="BB8" s="10"/>
      <c r="BC8" s="10">
        <v>26</v>
      </c>
      <c r="BD8" s="10">
        <v>10</v>
      </c>
      <c r="BE8" s="10">
        <v>7</v>
      </c>
      <c r="BF8" s="10">
        <v>0</v>
      </c>
      <c r="BG8" s="10">
        <v>1</v>
      </c>
      <c r="BH8" s="10">
        <v>0</v>
      </c>
      <c r="BI8" s="10">
        <v>0</v>
      </c>
      <c r="BJ8" s="10"/>
      <c r="BK8" s="10"/>
      <c r="BL8" s="10"/>
      <c r="BM8" s="10"/>
      <c r="BN8" s="10"/>
      <c r="BO8" s="10"/>
      <c r="BP8" s="10">
        <v>26</v>
      </c>
      <c r="BQ8" s="10">
        <v>5</v>
      </c>
      <c r="BR8" s="10">
        <v>6</v>
      </c>
      <c r="BS8" s="10">
        <v>0</v>
      </c>
      <c r="BT8" s="10">
        <v>1</v>
      </c>
      <c r="BU8" s="10">
        <v>0</v>
      </c>
      <c r="BV8" s="10">
        <v>0</v>
      </c>
      <c r="BW8" s="10"/>
      <c r="BX8" s="10"/>
      <c r="BY8" s="10"/>
      <c r="BZ8" s="10"/>
      <c r="CA8" s="10"/>
      <c r="CB8" s="10"/>
      <c r="CC8" s="10">
        <v>35</v>
      </c>
      <c r="CD8" s="10">
        <v>7</v>
      </c>
      <c r="CE8" s="10">
        <v>8</v>
      </c>
      <c r="CF8" s="10">
        <v>1</v>
      </c>
      <c r="CG8" s="10">
        <v>1</v>
      </c>
      <c r="CH8" s="10">
        <v>0</v>
      </c>
      <c r="CI8" s="10">
        <v>0</v>
      </c>
      <c r="CJ8" s="10"/>
      <c r="CK8" s="10"/>
      <c r="CL8" s="10"/>
      <c r="CM8" s="10"/>
      <c r="CN8" s="10"/>
      <c r="CO8" s="10"/>
      <c r="CP8" s="10">
        <v>20</v>
      </c>
      <c r="CQ8" s="10">
        <v>8</v>
      </c>
      <c r="CR8" s="10">
        <v>7</v>
      </c>
      <c r="CS8" s="10">
        <v>4</v>
      </c>
      <c r="CT8" s="10">
        <v>1</v>
      </c>
      <c r="CU8" s="10">
        <v>0</v>
      </c>
      <c r="CV8" s="10">
        <v>0</v>
      </c>
      <c r="CW8" s="10"/>
      <c r="CX8" s="10"/>
      <c r="CY8" s="10"/>
      <c r="CZ8" s="10"/>
      <c r="DA8" s="10"/>
      <c r="DB8" s="10"/>
      <c r="DC8" s="10">
        <v>38</v>
      </c>
      <c r="DD8" s="10">
        <v>7</v>
      </c>
      <c r="DE8" s="10">
        <v>8</v>
      </c>
      <c r="DF8" s="10">
        <v>0</v>
      </c>
      <c r="DG8" s="10">
        <v>0</v>
      </c>
      <c r="DH8" s="10">
        <v>0</v>
      </c>
      <c r="DI8" s="10">
        <v>0</v>
      </c>
      <c r="DJ8" s="10"/>
      <c r="DK8" s="10"/>
      <c r="DL8" s="10"/>
      <c r="DM8" s="10"/>
      <c r="DN8" s="10"/>
      <c r="DO8" s="10"/>
      <c r="DP8" s="10">
        <v>30</v>
      </c>
      <c r="DQ8" s="33">
        <v>10</v>
      </c>
      <c r="DR8" s="33">
        <v>2</v>
      </c>
      <c r="DS8" s="10">
        <v>7</v>
      </c>
      <c r="DT8" s="10">
        <v>5</v>
      </c>
      <c r="DU8" s="10">
        <v>2</v>
      </c>
      <c r="DV8" s="10">
        <v>24</v>
      </c>
      <c r="DW8" s="10"/>
      <c r="DX8" s="10"/>
      <c r="DY8" s="10"/>
      <c r="DZ8" s="10"/>
      <c r="EA8" s="10"/>
      <c r="EB8" s="10"/>
      <c r="EC8" s="10">
        <v>28</v>
      </c>
      <c r="ED8" s="10">
        <v>9</v>
      </c>
      <c r="EE8" s="10">
        <v>11</v>
      </c>
      <c r="EF8" s="10">
        <v>0</v>
      </c>
      <c r="EG8" s="10">
        <v>0</v>
      </c>
      <c r="EH8" s="10">
        <v>0</v>
      </c>
      <c r="EI8" s="10">
        <v>57</v>
      </c>
      <c r="EJ8" s="10"/>
      <c r="EK8" s="10"/>
      <c r="EL8" s="10"/>
      <c r="EM8" s="10"/>
      <c r="EN8" s="10"/>
      <c r="EO8" s="10"/>
      <c r="EP8" s="10">
        <v>29</v>
      </c>
      <c r="EQ8" s="10">
        <v>7</v>
      </c>
      <c r="ER8" s="10">
        <v>10</v>
      </c>
      <c r="ES8" s="10">
        <v>4</v>
      </c>
      <c r="ET8" s="10">
        <v>1</v>
      </c>
      <c r="EU8" s="10">
        <v>0</v>
      </c>
      <c r="EV8" s="10"/>
      <c r="EW8" s="10"/>
      <c r="EX8" s="10"/>
      <c r="EY8" s="10"/>
      <c r="EZ8" s="10"/>
      <c r="FA8" s="10"/>
      <c r="FB8" s="10"/>
      <c r="FC8" s="56">
        <v>450</v>
      </c>
      <c r="FD8" s="56">
        <v>85</v>
      </c>
      <c r="FE8" s="56">
        <v>80</v>
      </c>
      <c r="FF8" s="56">
        <v>20</v>
      </c>
      <c r="FG8" s="56">
        <v>15</v>
      </c>
      <c r="FH8" s="56">
        <v>3</v>
      </c>
      <c r="FI8" s="56">
        <v>75</v>
      </c>
      <c r="FJ8" s="56"/>
      <c r="FK8" s="56"/>
      <c r="FL8" s="56"/>
      <c r="FM8" s="56"/>
      <c r="FN8" s="56"/>
      <c r="FO8" s="56"/>
    </row>
    <row r="9" spans="1:171" x14ac:dyDescent="0.25">
      <c r="A9" s="29">
        <v>8</v>
      </c>
      <c r="B9" s="27" t="s">
        <v>25</v>
      </c>
      <c r="C9" s="10">
        <v>909</v>
      </c>
      <c r="D9" s="10">
        <v>58.8</v>
      </c>
      <c r="E9" s="10">
        <v>1.84</v>
      </c>
      <c r="F9" s="10">
        <v>10.050000000000001</v>
      </c>
      <c r="G9" s="16">
        <v>368</v>
      </c>
      <c r="H9" s="16">
        <v>30</v>
      </c>
      <c r="I9" s="16"/>
      <c r="J9" s="16">
        <v>37</v>
      </c>
      <c r="K9" s="16">
        <v>33</v>
      </c>
      <c r="L9" s="10">
        <v>24</v>
      </c>
      <c r="M9" s="10">
        <v>30</v>
      </c>
      <c r="N9" s="10">
        <v>25</v>
      </c>
      <c r="O9" s="10">
        <v>30</v>
      </c>
      <c r="P9" s="10">
        <v>895</v>
      </c>
      <c r="Q9" s="10">
        <v>63.4</v>
      </c>
      <c r="R9" s="10">
        <v>1.8</v>
      </c>
      <c r="S9" s="10">
        <v>8.27</v>
      </c>
      <c r="T9" s="16">
        <v>416</v>
      </c>
      <c r="U9" s="10">
        <v>30</v>
      </c>
      <c r="V9" s="10"/>
      <c r="W9" s="10">
        <v>34</v>
      </c>
      <c r="X9" s="10">
        <v>31</v>
      </c>
      <c r="Y9" s="10">
        <v>26</v>
      </c>
      <c r="Z9" s="10">
        <v>31</v>
      </c>
      <c r="AA9" s="10">
        <v>27</v>
      </c>
      <c r="AB9" s="10">
        <v>30</v>
      </c>
      <c r="AC9" s="10">
        <v>879</v>
      </c>
      <c r="AD9" s="10">
        <v>63.2</v>
      </c>
      <c r="AE9" s="10">
        <v>1.79</v>
      </c>
      <c r="AF9" s="10">
        <v>7.42</v>
      </c>
      <c r="AG9" s="10">
        <v>362</v>
      </c>
      <c r="AH9" s="10">
        <v>28</v>
      </c>
      <c r="AI9" s="10"/>
      <c r="AJ9" s="10">
        <v>31</v>
      </c>
      <c r="AK9" s="10">
        <v>31</v>
      </c>
      <c r="AL9" s="10">
        <v>27</v>
      </c>
      <c r="AM9" s="10">
        <v>26</v>
      </c>
      <c r="AN9" s="10">
        <v>20</v>
      </c>
      <c r="AO9" s="10">
        <v>34</v>
      </c>
      <c r="AP9" s="10">
        <v>938</v>
      </c>
      <c r="AQ9" s="10">
        <v>58.8</v>
      </c>
      <c r="AR9" s="10">
        <v>1.9</v>
      </c>
      <c r="AS9" s="10">
        <v>8.26</v>
      </c>
      <c r="AT9" s="10">
        <v>385</v>
      </c>
      <c r="AU9" s="10">
        <v>30</v>
      </c>
      <c r="AV9" s="10"/>
      <c r="AW9" s="10">
        <v>37</v>
      </c>
      <c r="AX9" s="10">
        <v>36</v>
      </c>
      <c r="AY9" s="10">
        <v>27</v>
      </c>
      <c r="AZ9" s="10">
        <v>27</v>
      </c>
      <c r="BA9" s="10">
        <v>22</v>
      </c>
      <c r="BB9" s="10">
        <v>29</v>
      </c>
      <c r="BC9" s="10">
        <v>810</v>
      </c>
      <c r="BD9" s="10">
        <v>57.7</v>
      </c>
      <c r="BE9" s="10">
        <v>1.81</v>
      </c>
      <c r="BF9" s="10">
        <v>8.49</v>
      </c>
      <c r="BG9" s="10">
        <v>335</v>
      </c>
      <c r="BH9" s="10">
        <v>27</v>
      </c>
      <c r="BI9" s="10"/>
      <c r="BJ9" s="10">
        <v>32</v>
      </c>
      <c r="BK9" s="10">
        <v>30</v>
      </c>
      <c r="BL9" s="10">
        <v>21</v>
      </c>
      <c r="BM9" s="10">
        <v>28</v>
      </c>
      <c r="BN9" s="10">
        <v>24</v>
      </c>
      <c r="BO9" s="10">
        <v>26</v>
      </c>
      <c r="BP9" s="10">
        <v>881</v>
      </c>
      <c r="BQ9" s="10">
        <v>60.8</v>
      </c>
      <c r="BR9" s="10">
        <v>1.58</v>
      </c>
      <c r="BS9" s="10">
        <v>8.5399999999999991</v>
      </c>
      <c r="BT9" s="10">
        <v>399</v>
      </c>
      <c r="BU9" s="10">
        <v>29</v>
      </c>
      <c r="BV9" s="10"/>
      <c r="BW9" s="10">
        <v>32</v>
      </c>
      <c r="BX9" s="10">
        <v>26</v>
      </c>
      <c r="BY9" s="10">
        <v>27</v>
      </c>
      <c r="BZ9" s="10">
        <v>29</v>
      </c>
      <c r="CA9" s="10">
        <v>28</v>
      </c>
      <c r="CB9" s="10">
        <v>29</v>
      </c>
      <c r="CC9" s="10">
        <v>810</v>
      </c>
      <c r="CD9" s="10">
        <v>60.8</v>
      </c>
      <c r="CE9" s="10">
        <v>1.7</v>
      </c>
      <c r="CF9" s="10">
        <v>8.24</v>
      </c>
      <c r="CG9" s="10">
        <v>367</v>
      </c>
      <c r="CH9" s="10">
        <v>27</v>
      </c>
      <c r="CI9" s="10"/>
      <c r="CJ9" s="10">
        <v>31</v>
      </c>
      <c r="CK9" s="10">
        <v>27</v>
      </c>
      <c r="CL9" s="10">
        <v>21</v>
      </c>
      <c r="CM9" s="10">
        <v>27</v>
      </c>
      <c r="CN9" s="10">
        <v>24</v>
      </c>
      <c r="CO9" s="10">
        <v>32</v>
      </c>
      <c r="CP9" s="10">
        <v>898</v>
      </c>
      <c r="CQ9" s="10">
        <v>62.3</v>
      </c>
      <c r="CR9" s="10">
        <v>1.7</v>
      </c>
      <c r="CS9" s="10">
        <v>9.98</v>
      </c>
      <c r="CT9" s="10">
        <v>463</v>
      </c>
      <c r="CU9" s="10">
        <v>34</v>
      </c>
      <c r="CV9" s="10"/>
      <c r="CW9" s="10">
        <v>41</v>
      </c>
      <c r="CX9" s="10">
        <v>33</v>
      </c>
      <c r="CY9" s="10">
        <v>29</v>
      </c>
      <c r="CZ9" s="10">
        <v>35</v>
      </c>
      <c r="DA9" s="10">
        <v>31</v>
      </c>
      <c r="DB9" s="10">
        <v>38</v>
      </c>
      <c r="DC9" s="10">
        <v>1002</v>
      </c>
      <c r="DD9" s="10">
        <v>63.9</v>
      </c>
      <c r="DE9" s="10">
        <v>1.73</v>
      </c>
      <c r="DF9" s="10">
        <v>8.39</v>
      </c>
      <c r="DG9" s="10">
        <v>476</v>
      </c>
      <c r="DH9" s="10">
        <v>33</v>
      </c>
      <c r="DI9" s="10"/>
      <c r="DJ9" s="10">
        <v>39</v>
      </c>
      <c r="DK9" s="10">
        <v>36</v>
      </c>
      <c r="DL9" s="10">
        <v>27</v>
      </c>
      <c r="DM9" s="10">
        <v>31</v>
      </c>
      <c r="DN9" s="10">
        <v>30</v>
      </c>
      <c r="DO9" s="10">
        <v>42</v>
      </c>
      <c r="DP9" s="10">
        <v>989</v>
      </c>
      <c r="DQ9" s="10">
        <v>57.2</v>
      </c>
      <c r="DR9" s="10">
        <v>1.89</v>
      </c>
      <c r="DS9" s="10">
        <v>10.1</v>
      </c>
      <c r="DT9" s="10">
        <v>469</v>
      </c>
      <c r="DU9" s="10">
        <v>35</v>
      </c>
      <c r="DV9" s="10"/>
      <c r="DW9" s="10">
        <v>39</v>
      </c>
      <c r="DX9" s="10">
        <v>35</v>
      </c>
      <c r="DY9" s="10">
        <v>30</v>
      </c>
      <c r="DZ9" s="10">
        <v>36</v>
      </c>
      <c r="EA9" s="10">
        <v>30</v>
      </c>
      <c r="EB9" s="10">
        <v>35</v>
      </c>
      <c r="EC9" s="10">
        <v>1019</v>
      </c>
      <c r="ED9" s="10">
        <v>58.1</v>
      </c>
      <c r="EE9" s="10">
        <v>1.64</v>
      </c>
      <c r="EF9" s="10">
        <v>8.2899999999999991</v>
      </c>
      <c r="EG9" s="10">
        <v>499</v>
      </c>
      <c r="EH9" s="10">
        <v>38</v>
      </c>
      <c r="EI9" s="10"/>
      <c r="EJ9" s="10">
        <v>40</v>
      </c>
      <c r="EK9" s="10">
        <v>33</v>
      </c>
      <c r="EL9" s="10">
        <v>31</v>
      </c>
      <c r="EM9" s="10">
        <v>33</v>
      </c>
      <c r="EN9" s="10">
        <v>29</v>
      </c>
      <c r="EO9" s="10">
        <v>48</v>
      </c>
      <c r="EP9" s="10">
        <v>971</v>
      </c>
      <c r="EQ9" s="10">
        <v>58.3</v>
      </c>
      <c r="ER9" s="10">
        <v>1.7</v>
      </c>
      <c r="ES9" s="10">
        <v>8.61</v>
      </c>
      <c r="ET9" s="10">
        <v>475</v>
      </c>
      <c r="EU9" s="10">
        <v>34</v>
      </c>
      <c r="EV9" s="10"/>
      <c r="EW9" s="10">
        <v>41</v>
      </c>
      <c r="EX9" s="10">
        <v>33</v>
      </c>
      <c r="EY9" s="10">
        <v>30</v>
      </c>
      <c r="EZ9" s="10">
        <v>37</v>
      </c>
      <c r="FA9" s="10">
        <v>32</v>
      </c>
      <c r="FB9" s="10">
        <v>33</v>
      </c>
      <c r="FC9" s="56">
        <v>9100</v>
      </c>
      <c r="FD9" s="56">
        <v>58</v>
      </c>
      <c r="FE9" s="56">
        <v>1.9</v>
      </c>
      <c r="FF9" s="56">
        <v>8</v>
      </c>
      <c r="FG9" s="56">
        <v>3000</v>
      </c>
      <c r="FH9" s="56">
        <v>25</v>
      </c>
      <c r="FI9" s="56">
        <v>0</v>
      </c>
      <c r="FJ9" s="56">
        <v>25</v>
      </c>
      <c r="FK9" s="56">
        <v>25</v>
      </c>
      <c r="FL9" s="56">
        <v>25</v>
      </c>
      <c r="FM9" s="56">
        <v>25</v>
      </c>
      <c r="FN9" s="56">
        <v>25</v>
      </c>
      <c r="FO9" s="56">
        <v>25</v>
      </c>
    </row>
    <row r="10" spans="1:171" x14ac:dyDescent="0.25">
      <c r="A10" s="29">
        <v>9</v>
      </c>
      <c r="B10" s="27" t="s">
        <v>69</v>
      </c>
      <c r="C10" s="10">
        <v>1</v>
      </c>
      <c r="D10" s="10">
        <v>23</v>
      </c>
      <c r="E10" s="10">
        <v>13</v>
      </c>
      <c r="F10" s="10">
        <v>32</v>
      </c>
      <c r="G10" s="16">
        <v>63</v>
      </c>
      <c r="H10" s="16">
        <v>100</v>
      </c>
      <c r="I10" s="16">
        <v>111</v>
      </c>
      <c r="J10" s="16">
        <v>100</v>
      </c>
      <c r="K10" s="16">
        <v>35</v>
      </c>
      <c r="L10" s="10">
        <v>42</v>
      </c>
      <c r="M10" s="10"/>
      <c r="N10" s="10"/>
      <c r="O10" s="10"/>
      <c r="P10" s="10">
        <v>8</v>
      </c>
      <c r="Q10" s="10">
        <v>63</v>
      </c>
      <c r="R10" s="10">
        <v>24</v>
      </c>
      <c r="S10" s="10">
        <v>37</v>
      </c>
      <c r="T10" s="16">
        <v>59</v>
      </c>
      <c r="U10" s="10">
        <v>80</v>
      </c>
      <c r="V10" s="10">
        <v>134</v>
      </c>
      <c r="W10" s="10">
        <v>100</v>
      </c>
      <c r="X10" s="10">
        <v>26</v>
      </c>
      <c r="Y10" s="10">
        <v>26</v>
      </c>
      <c r="Z10" s="10"/>
      <c r="AA10" s="10"/>
      <c r="AB10" s="10"/>
      <c r="AC10" s="10">
        <v>3</v>
      </c>
      <c r="AD10" s="10">
        <v>42</v>
      </c>
      <c r="AE10" s="10">
        <v>16</v>
      </c>
      <c r="AF10" s="10">
        <v>17</v>
      </c>
      <c r="AG10" s="10">
        <v>36</v>
      </c>
      <c r="AH10" s="10">
        <v>100</v>
      </c>
      <c r="AI10" s="10">
        <v>82</v>
      </c>
      <c r="AJ10" s="10">
        <v>60</v>
      </c>
      <c r="AK10" s="10">
        <v>20</v>
      </c>
      <c r="AL10" s="10">
        <v>19</v>
      </c>
      <c r="AM10" s="10"/>
      <c r="AN10" s="10"/>
      <c r="AO10" s="10"/>
      <c r="AP10" s="10">
        <v>6</v>
      </c>
      <c r="AQ10" s="10">
        <v>58</v>
      </c>
      <c r="AR10" s="10">
        <v>18</v>
      </c>
      <c r="AS10" s="10">
        <v>28</v>
      </c>
      <c r="AT10" s="10">
        <v>79</v>
      </c>
      <c r="AU10" s="10">
        <v>83</v>
      </c>
      <c r="AV10" s="10">
        <v>112</v>
      </c>
      <c r="AW10" s="10">
        <v>83</v>
      </c>
      <c r="AX10" s="10">
        <v>31</v>
      </c>
      <c r="AY10" s="10">
        <v>43</v>
      </c>
      <c r="AZ10" s="10"/>
      <c r="BA10" s="10"/>
      <c r="BB10" s="10"/>
      <c r="BC10" s="10">
        <v>2</v>
      </c>
      <c r="BD10" s="10">
        <v>53</v>
      </c>
      <c r="BE10" s="10">
        <v>11</v>
      </c>
      <c r="BF10" s="10">
        <v>24</v>
      </c>
      <c r="BG10" s="10">
        <v>58</v>
      </c>
      <c r="BH10" s="10">
        <v>100</v>
      </c>
      <c r="BI10" s="10">
        <v>74</v>
      </c>
      <c r="BJ10" s="10">
        <v>100</v>
      </c>
      <c r="BK10" s="10">
        <v>18</v>
      </c>
      <c r="BL10" s="10">
        <v>18</v>
      </c>
      <c r="BM10" s="10"/>
      <c r="BN10" s="10"/>
      <c r="BO10" s="10"/>
      <c r="BP10" s="10">
        <v>3</v>
      </c>
      <c r="BQ10" s="10">
        <v>67</v>
      </c>
      <c r="BR10" s="10">
        <v>7</v>
      </c>
      <c r="BS10" s="10">
        <v>18</v>
      </c>
      <c r="BT10" s="10">
        <v>71</v>
      </c>
      <c r="BU10" s="10">
        <v>100</v>
      </c>
      <c r="BV10" s="10">
        <v>60</v>
      </c>
      <c r="BW10" s="10">
        <v>100</v>
      </c>
      <c r="BX10" s="10">
        <v>2</v>
      </c>
      <c r="BY10" s="10">
        <v>5</v>
      </c>
      <c r="BZ10" s="10"/>
      <c r="CA10" s="10"/>
      <c r="CB10" s="10"/>
      <c r="CC10" s="10">
        <v>19</v>
      </c>
      <c r="CD10" s="10">
        <v>46</v>
      </c>
      <c r="CE10" s="10">
        <v>10</v>
      </c>
      <c r="CF10" s="10">
        <v>16</v>
      </c>
      <c r="CG10" s="10">
        <v>67</v>
      </c>
      <c r="CH10" s="10">
        <v>83</v>
      </c>
      <c r="CI10" s="10">
        <v>117</v>
      </c>
      <c r="CJ10" s="10">
        <v>100</v>
      </c>
      <c r="CK10" s="10">
        <v>19</v>
      </c>
      <c r="CL10" s="10">
        <v>13</v>
      </c>
      <c r="CM10" s="10"/>
      <c r="CN10" s="10"/>
      <c r="CO10" s="10"/>
      <c r="CP10" s="10">
        <v>0</v>
      </c>
      <c r="CQ10" s="10">
        <v>52</v>
      </c>
      <c r="CR10" s="10">
        <v>16</v>
      </c>
      <c r="CS10" s="10">
        <v>34</v>
      </c>
      <c r="CT10" s="10">
        <v>32</v>
      </c>
      <c r="CU10" s="10">
        <v>100</v>
      </c>
      <c r="CV10" s="10">
        <v>66</v>
      </c>
      <c r="CW10" s="10">
        <v>100</v>
      </c>
      <c r="CX10" s="10">
        <v>9</v>
      </c>
      <c r="CY10" s="10">
        <v>28</v>
      </c>
      <c r="CZ10" s="10"/>
      <c r="DA10" s="10"/>
      <c r="DB10" s="10"/>
      <c r="DC10" s="10">
        <v>7</v>
      </c>
      <c r="DD10" s="10">
        <v>45</v>
      </c>
      <c r="DE10" s="10">
        <v>7</v>
      </c>
      <c r="DF10" s="10">
        <v>34</v>
      </c>
      <c r="DG10" s="10">
        <v>35</v>
      </c>
      <c r="DH10" s="10">
        <v>100</v>
      </c>
      <c r="DI10" s="10">
        <v>110</v>
      </c>
      <c r="DJ10" s="10">
        <v>100</v>
      </c>
      <c r="DK10" s="10">
        <v>26</v>
      </c>
      <c r="DL10" s="10">
        <v>19</v>
      </c>
      <c r="DM10" s="10"/>
      <c r="DN10" s="10"/>
      <c r="DO10" s="10"/>
      <c r="DP10" s="10">
        <v>2</v>
      </c>
      <c r="DQ10" s="10">
        <v>46</v>
      </c>
      <c r="DR10" s="10">
        <v>18</v>
      </c>
      <c r="DS10" s="10">
        <v>46</v>
      </c>
      <c r="DT10" s="10">
        <v>59</v>
      </c>
      <c r="DU10" s="10">
        <v>69</v>
      </c>
      <c r="DV10" s="10">
        <v>135</v>
      </c>
      <c r="DW10" s="10">
        <v>100</v>
      </c>
      <c r="DX10" s="10">
        <v>21</v>
      </c>
      <c r="DY10" s="10">
        <v>11</v>
      </c>
      <c r="DZ10" s="10"/>
      <c r="EA10" s="10"/>
      <c r="EB10" s="10"/>
      <c r="EC10" s="10">
        <v>3</v>
      </c>
      <c r="ED10" s="10">
        <v>72</v>
      </c>
      <c r="EE10" s="10">
        <v>10</v>
      </c>
      <c r="EF10" s="10">
        <v>55</v>
      </c>
      <c r="EG10" s="10">
        <v>38</v>
      </c>
      <c r="EH10" s="10">
        <v>89</v>
      </c>
      <c r="EI10" s="10">
        <v>135</v>
      </c>
      <c r="EJ10" s="10">
        <v>73</v>
      </c>
      <c r="EK10" s="10">
        <v>20</v>
      </c>
      <c r="EL10" s="10">
        <v>46</v>
      </c>
      <c r="EM10" s="10"/>
      <c r="EN10" s="10"/>
      <c r="EO10" s="10"/>
      <c r="EP10" s="10">
        <v>9</v>
      </c>
      <c r="EQ10" s="10">
        <v>99</v>
      </c>
      <c r="ER10" s="10">
        <v>13</v>
      </c>
      <c r="ES10" s="10">
        <v>41</v>
      </c>
      <c r="ET10" s="10">
        <v>42</v>
      </c>
      <c r="EU10" s="10">
        <v>100</v>
      </c>
      <c r="EV10" s="10">
        <v>111</v>
      </c>
      <c r="EW10" s="10">
        <v>92</v>
      </c>
      <c r="EX10" s="10">
        <v>2</v>
      </c>
      <c r="EY10" s="10">
        <v>24</v>
      </c>
      <c r="EZ10" s="10"/>
      <c r="FA10" s="10"/>
      <c r="FB10" s="10"/>
      <c r="FC10" s="56">
        <v>50</v>
      </c>
      <c r="FD10" s="56">
        <v>725</v>
      </c>
      <c r="FE10" s="56">
        <v>250</v>
      </c>
      <c r="FF10" s="56">
        <v>360</v>
      </c>
      <c r="FG10" s="56">
        <v>80</v>
      </c>
      <c r="FH10" s="56">
        <v>90</v>
      </c>
      <c r="FI10" s="56">
        <v>1065</v>
      </c>
      <c r="FJ10" s="56">
        <v>95</v>
      </c>
      <c r="FK10" s="56">
        <v>290</v>
      </c>
      <c r="FL10" s="56">
        <v>275</v>
      </c>
      <c r="FM10" s="56"/>
      <c r="FN10" s="56"/>
      <c r="FO10" s="56"/>
    </row>
    <row r="11" spans="1:171" x14ac:dyDescent="0.25">
      <c r="A11" s="29">
        <v>10</v>
      </c>
      <c r="B11" s="27" t="s">
        <v>227</v>
      </c>
      <c r="C11" s="10">
        <v>157</v>
      </c>
      <c r="D11" s="10">
        <v>7.5</v>
      </c>
      <c r="E11" s="10">
        <v>238</v>
      </c>
      <c r="F11" s="10">
        <v>0</v>
      </c>
      <c r="G11" s="16"/>
      <c r="H11" s="16"/>
      <c r="I11" s="16"/>
      <c r="J11" s="16"/>
      <c r="K11" s="16"/>
      <c r="L11" s="10"/>
      <c r="M11" s="10"/>
      <c r="N11" s="10"/>
      <c r="O11" s="10"/>
      <c r="P11" s="10">
        <v>270</v>
      </c>
      <c r="Q11" s="10">
        <v>11.7</v>
      </c>
      <c r="R11" s="10">
        <v>126.5</v>
      </c>
      <c r="S11" s="10">
        <v>0</v>
      </c>
      <c r="T11" s="16"/>
      <c r="U11" s="10"/>
      <c r="V11" s="10"/>
      <c r="W11" s="10"/>
      <c r="X11" s="10"/>
      <c r="Y11" s="10"/>
      <c r="Z11" s="10"/>
      <c r="AA11" s="10"/>
      <c r="AB11" s="10"/>
      <c r="AC11" s="10">
        <v>215</v>
      </c>
      <c r="AD11" s="10">
        <v>11.3</v>
      </c>
      <c r="AE11" s="10">
        <v>216</v>
      </c>
      <c r="AF11" s="10">
        <v>0</v>
      </c>
      <c r="AG11" s="10"/>
      <c r="AH11" s="10"/>
      <c r="AI11" s="10"/>
      <c r="AJ11" s="10"/>
      <c r="AK11" s="10"/>
      <c r="AL11" s="10"/>
      <c r="AM11" s="10"/>
      <c r="AN11" s="10"/>
      <c r="AO11" s="10"/>
      <c r="AP11" s="10">
        <v>255</v>
      </c>
      <c r="AQ11" s="10">
        <v>11.1</v>
      </c>
      <c r="AR11" s="10">
        <v>202</v>
      </c>
      <c r="AS11" s="10">
        <v>12</v>
      </c>
      <c r="AT11" s="10"/>
      <c r="AU11" s="10"/>
      <c r="AV11" s="10"/>
      <c r="AW11" s="10"/>
      <c r="AX11" s="10"/>
      <c r="AY11" s="10"/>
      <c r="AZ11" s="10"/>
      <c r="BA11" s="10"/>
      <c r="BB11" s="10"/>
      <c r="BC11" s="10">
        <v>200</v>
      </c>
      <c r="BD11" s="10">
        <v>10.5</v>
      </c>
      <c r="BE11" s="10">
        <v>219</v>
      </c>
      <c r="BF11" s="10">
        <v>24</v>
      </c>
      <c r="BG11" s="10"/>
      <c r="BH11" s="10"/>
      <c r="BI11" s="10"/>
      <c r="BJ11" s="10"/>
      <c r="BK11" s="10"/>
      <c r="BL11" s="10"/>
      <c r="BM11" s="10"/>
      <c r="BN11" s="10"/>
      <c r="BO11" s="10"/>
      <c r="BP11" s="10">
        <v>188</v>
      </c>
      <c r="BQ11" s="10">
        <v>10.4</v>
      </c>
      <c r="BR11" s="10">
        <v>107</v>
      </c>
      <c r="BS11" s="10">
        <v>22</v>
      </c>
      <c r="BT11" s="10"/>
      <c r="BU11" s="10"/>
      <c r="BV11" s="10"/>
      <c r="BW11" s="10"/>
      <c r="BX11" s="10"/>
      <c r="BY11" s="10"/>
      <c r="BZ11" s="10"/>
      <c r="CA11" s="10"/>
      <c r="CB11" s="10"/>
      <c r="CC11" s="10">
        <v>243</v>
      </c>
      <c r="CD11" s="10">
        <v>11.6</v>
      </c>
      <c r="CE11" s="10">
        <v>74</v>
      </c>
      <c r="CF11" s="10">
        <v>77</v>
      </c>
      <c r="CG11" s="10"/>
      <c r="CH11" s="10"/>
      <c r="CI11" s="10"/>
      <c r="CJ11" s="10"/>
      <c r="CK11" s="10"/>
      <c r="CL11" s="10"/>
      <c r="CM11" s="10"/>
      <c r="CN11" s="10"/>
      <c r="CO11" s="10"/>
      <c r="CP11" s="10">
        <v>244</v>
      </c>
      <c r="CQ11" s="10">
        <v>12.2</v>
      </c>
      <c r="CR11" s="10">
        <v>194</v>
      </c>
      <c r="CS11" s="10">
        <v>15</v>
      </c>
      <c r="CT11" s="10"/>
      <c r="CU11" s="10"/>
      <c r="CV11" s="10"/>
      <c r="CW11" s="10"/>
      <c r="CX11" s="10"/>
      <c r="CY11" s="10"/>
      <c r="CZ11" s="10"/>
      <c r="DA11" s="10"/>
      <c r="DB11" s="10"/>
      <c r="DC11" s="10">
        <v>214</v>
      </c>
      <c r="DD11">
        <v>10.199999999999999</v>
      </c>
      <c r="DE11" s="10">
        <v>273</v>
      </c>
      <c r="DF11" s="10">
        <v>38</v>
      </c>
      <c r="DG11" s="10"/>
      <c r="DH11" s="10"/>
      <c r="DI11" s="10"/>
      <c r="DJ11" s="10"/>
      <c r="DK11" s="10"/>
      <c r="DL11" s="10"/>
      <c r="DM11" s="10"/>
      <c r="DN11" s="10"/>
      <c r="DO11" s="10"/>
      <c r="DP11" s="10">
        <v>241</v>
      </c>
      <c r="DQ11" s="10">
        <v>11.5</v>
      </c>
      <c r="DR11" s="10">
        <v>192</v>
      </c>
      <c r="DS11" s="10">
        <v>3</v>
      </c>
      <c r="DT11" s="10"/>
      <c r="DU11" s="10"/>
      <c r="DV11" s="10"/>
      <c r="DW11" s="10"/>
      <c r="DX11" s="10"/>
      <c r="DY11" s="10"/>
      <c r="DZ11" s="10"/>
      <c r="EA11" s="10"/>
      <c r="EB11" s="10"/>
      <c r="EC11" s="10">
        <v>258</v>
      </c>
      <c r="ED11" s="10">
        <v>11.7</v>
      </c>
      <c r="EE11" s="10">
        <v>276</v>
      </c>
      <c r="EF11" s="10">
        <v>12.5</v>
      </c>
      <c r="EG11" s="10"/>
      <c r="EH11" s="10"/>
      <c r="EI11" s="10"/>
      <c r="EJ11" s="10"/>
      <c r="EK11" s="10"/>
      <c r="EL11" s="10"/>
      <c r="EM11" s="10"/>
      <c r="EN11" s="10"/>
      <c r="EO11" s="10"/>
      <c r="EP11" s="10">
        <v>196</v>
      </c>
      <c r="EQ11" s="10">
        <v>9.8000000000000007</v>
      </c>
      <c r="ER11" s="10">
        <v>141</v>
      </c>
      <c r="ES11" s="10">
        <v>30</v>
      </c>
      <c r="ET11" s="10"/>
      <c r="EU11" s="10"/>
      <c r="EV11" s="10"/>
      <c r="EW11" s="10"/>
      <c r="EX11" s="10"/>
      <c r="EY11" s="10"/>
      <c r="EZ11" s="10"/>
      <c r="FA11" s="10"/>
      <c r="FB11" s="10"/>
      <c r="FC11" s="56">
        <v>2275</v>
      </c>
      <c r="FD11" s="56">
        <v>9</v>
      </c>
      <c r="FE11" s="56">
        <v>2000</v>
      </c>
      <c r="FF11" s="56">
        <v>200</v>
      </c>
      <c r="FG11" s="56"/>
      <c r="FH11" s="56"/>
      <c r="FI11" s="56"/>
      <c r="FJ11" s="56"/>
      <c r="FK11" s="56"/>
      <c r="FL11" s="56"/>
      <c r="FM11" s="56"/>
      <c r="FN11" s="56"/>
      <c r="FO11" s="56"/>
    </row>
    <row r="12" spans="1:171" x14ac:dyDescent="0.25">
      <c r="A12" s="25">
        <v>11</v>
      </c>
      <c r="B12" s="27" t="s">
        <v>6</v>
      </c>
      <c r="C12" s="10">
        <v>178</v>
      </c>
      <c r="D12" s="10">
        <v>250</v>
      </c>
      <c r="E12" s="10">
        <v>20</v>
      </c>
      <c r="F12" s="10">
        <v>0</v>
      </c>
      <c r="G12" s="16">
        <v>27</v>
      </c>
      <c r="H12" s="16">
        <v>0</v>
      </c>
      <c r="I12" s="16">
        <v>16</v>
      </c>
      <c r="J12" s="16">
        <v>48</v>
      </c>
      <c r="K12" s="16">
        <v>693</v>
      </c>
      <c r="L12" s="10">
        <v>33</v>
      </c>
      <c r="M12" s="10">
        <v>13</v>
      </c>
      <c r="N12" s="10">
        <v>18</v>
      </c>
      <c r="O12" s="10">
        <v>850</v>
      </c>
      <c r="P12" s="10">
        <v>179</v>
      </c>
      <c r="Q12" s="10">
        <v>511</v>
      </c>
      <c r="R12" s="10">
        <v>22</v>
      </c>
      <c r="S12" s="10">
        <v>0</v>
      </c>
      <c r="T12" s="16">
        <v>35</v>
      </c>
      <c r="U12" s="10">
        <v>0</v>
      </c>
      <c r="V12" s="10">
        <v>11</v>
      </c>
      <c r="W12" s="10">
        <v>56</v>
      </c>
      <c r="X12" s="10">
        <v>703</v>
      </c>
      <c r="Y12" s="10">
        <v>33.700000000000003</v>
      </c>
      <c r="Z12" s="10">
        <v>10</v>
      </c>
      <c r="AA12" s="10">
        <v>32</v>
      </c>
      <c r="AB12" s="10">
        <v>922</v>
      </c>
      <c r="AC12" s="10">
        <v>176</v>
      </c>
      <c r="AD12" s="10">
        <v>388</v>
      </c>
      <c r="AE12" s="10">
        <v>19</v>
      </c>
      <c r="AF12" s="10">
        <v>0</v>
      </c>
      <c r="AG12" s="10">
        <v>38</v>
      </c>
      <c r="AH12" s="10">
        <v>0</v>
      </c>
      <c r="AI12" s="10">
        <v>14</v>
      </c>
      <c r="AJ12" s="10">
        <v>44</v>
      </c>
      <c r="AK12" s="10">
        <v>519</v>
      </c>
      <c r="AL12" s="10">
        <v>37.4</v>
      </c>
      <c r="AM12" s="10">
        <v>11</v>
      </c>
      <c r="AN12" s="10">
        <v>14</v>
      </c>
      <c r="AO12" s="10">
        <v>785</v>
      </c>
      <c r="AP12" s="10">
        <v>258</v>
      </c>
      <c r="AQ12" s="10">
        <v>825</v>
      </c>
      <c r="AR12" s="10">
        <v>35</v>
      </c>
      <c r="AS12" s="10">
        <v>0</v>
      </c>
      <c r="AT12" s="10">
        <v>40</v>
      </c>
      <c r="AU12" s="10">
        <v>0</v>
      </c>
      <c r="AV12" s="10">
        <v>11</v>
      </c>
      <c r="AW12" s="10">
        <v>59</v>
      </c>
      <c r="AX12" s="10">
        <v>764</v>
      </c>
      <c r="AY12" s="10">
        <v>37.799999999999997</v>
      </c>
      <c r="AZ12" s="10">
        <v>10</v>
      </c>
      <c r="BA12" s="10">
        <v>12</v>
      </c>
      <c r="BB12" s="10">
        <v>893</v>
      </c>
      <c r="BC12" s="10">
        <v>229</v>
      </c>
      <c r="BD12" s="10">
        <v>534</v>
      </c>
      <c r="BE12" s="10">
        <v>28</v>
      </c>
      <c r="BF12" s="10">
        <v>0</v>
      </c>
      <c r="BG12" s="10">
        <v>24</v>
      </c>
      <c r="BH12" s="10">
        <v>0</v>
      </c>
      <c r="BI12" s="10">
        <v>15</v>
      </c>
      <c r="BJ12" s="10">
        <v>52</v>
      </c>
      <c r="BK12" s="10">
        <v>615</v>
      </c>
      <c r="BL12" s="10">
        <v>33</v>
      </c>
      <c r="BM12" s="10">
        <v>10</v>
      </c>
      <c r="BN12" s="10">
        <v>22</v>
      </c>
      <c r="BO12" s="10">
        <v>899</v>
      </c>
      <c r="BP12" s="10">
        <v>207</v>
      </c>
      <c r="BQ12" s="10">
        <v>232</v>
      </c>
      <c r="BR12" s="10">
        <v>24</v>
      </c>
      <c r="BS12" s="10">
        <v>0</v>
      </c>
      <c r="BT12" s="10">
        <v>26</v>
      </c>
      <c r="BU12" s="10">
        <v>0</v>
      </c>
      <c r="BV12" s="10">
        <v>16</v>
      </c>
      <c r="BW12" s="10">
        <v>36</v>
      </c>
      <c r="BX12" s="10">
        <v>576</v>
      </c>
      <c r="BY12" s="10">
        <v>29.9</v>
      </c>
      <c r="BZ12" s="10">
        <v>11</v>
      </c>
      <c r="CA12" s="10">
        <v>24</v>
      </c>
      <c r="CB12" s="10">
        <v>867</v>
      </c>
      <c r="CC12" s="10">
        <v>292</v>
      </c>
      <c r="CD12" s="10">
        <v>302</v>
      </c>
      <c r="CE12" s="10">
        <v>28</v>
      </c>
      <c r="CF12" s="10">
        <v>0</v>
      </c>
      <c r="CG12" s="10">
        <v>39</v>
      </c>
      <c r="CH12" s="10">
        <v>0</v>
      </c>
      <c r="CI12" s="10">
        <v>24</v>
      </c>
      <c r="CJ12" s="10">
        <v>83</v>
      </c>
      <c r="CK12" s="10">
        <v>779</v>
      </c>
      <c r="CL12" s="10">
        <v>37.799999999999997</v>
      </c>
      <c r="CM12" s="10">
        <v>12</v>
      </c>
      <c r="CN12" s="10">
        <v>23</v>
      </c>
      <c r="CO12" s="10">
        <v>1016</v>
      </c>
      <c r="CP12" s="10">
        <v>180</v>
      </c>
      <c r="CQ12" s="10">
        <v>276</v>
      </c>
      <c r="CR12" s="10">
        <v>23</v>
      </c>
      <c r="CS12" s="10">
        <v>0</v>
      </c>
      <c r="CT12" s="10">
        <v>24</v>
      </c>
      <c r="CU12" s="10">
        <v>0</v>
      </c>
      <c r="CV12" s="10">
        <v>17</v>
      </c>
      <c r="CW12" s="10">
        <v>44</v>
      </c>
      <c r="CX12" s="10">
        <v>597</v>
      </c>
      <c r="CY12" s="10">
        <v>33.299999999999997</v>
      </c>
      <c r="CZ12" s="10">
        <v>9</v>
      </c>
      <c r="DA12" s="10">
        <v>18</v>
      </c>
      <c r="DB12" s="10">
        <v>903</v>
      </c>
      <c r="DC12" s="10">
        <v>254</v>
      </c>
      <c r="DD12" s="10">
        <v>277</v>
      </c>
      <c r="DE12" s="10">
        <v>25</v>
      </c>
      <c r="DF12" s="10">
        <v>0</v>
      </c>
      <c r="DG12" s="10">
        <v>21</v>
      </c>
      <c r="DH12" s="10">
        <v>0</v>
      </c>
      <c r="DI12" s="10">
        <v>14</v>
      </c>
      <c r="DJ12" s="10">
        <v>66</v>
      </c>
      <c r="DK12" s="10">
        <v>562</v>
      </c>
      <c r="DL12" s="10">
        <v>36</v>
      </c>
      <c r="DM12" s="10">
        <v>10</v>
      </c>
      <c r="DN12" s="10">
        <v>27</v>
      </c>
      <c r="DO12" s="10">
        <v>937</v>
      </c>
      <c r="DP12" s="10">
        <v>252</v>
      </c>
      <c r="DQ12" s="10">
        <v>256</v>
      </c>
      <c r="DR12" s="10">
        <v>24</v>
      </c>
      <c r="DS12" s="10">
        <v>0</v>
      </c>
      <c r="DT12" s="10">
        <v>35</v>
      </c>
      <c r="DU12" s="10">
        <v>0</v>
      </c>
      <c r="DV12" s="10">
        <v>24</v>
      </c>
      <c r="DW12" s="10">
        <v>56</v>
      </c>
      <c r="DX12" s="10">
        <v>689</v>
      </c>
      <c r="DY12" s="10">
        <v>32.9</v>
      </c>
      <c r="DZ12" s="10">
        <v>7</v>
      </c>
      <c r="EA12" s="10">
        <v>16</v>
      </c>
      <c r="EB12" s="10">
        <v>903</v>
      </c>
      <c r="EC12" s="10">
        <v>251</v>
      </c>
      <c r="ED12" s="10">
        <v>269</v>
      </c>
      <c r="EE12" s="10">
        <v>23</v>
      </c>
      <c r="EF12" s="10">
        <v>0</v>
      </c>
      <c r="EG12" s="10">
        <v>34</v>
      </c>
      <c r="EH12" s="10">
        <v>0</v>
      </c>
      <c r="EI12" s="10">
        <v>21</v>
      </c>
      <c r="EJ12" s="10">
        <v>52</v>
      </c>
      <c r="EK12" s="10">
        <v>667</v>
      </c>
      <c r="EL12" s="10">
        <v>36</v>
      </c>
      <c r="EM12" s="10">
        <v>12</v>
      </c>
      <c r="EN12" s="10">
        <v>20</v>
      </c>
      <c r="EO12" s="10">
        <v>877</v>
      </c>
      <c r="EP12" s="10">
        <v>236</v>
      </c>
      <c r="EQ12" s="10">
        <v>232</v>
      </c>
      <c r="ER12" s="10">
        <v>23</v>
      </c>
      <c r="ES12" s="10">
        <v>0</v>
      </c>
      <c r="ET12" s="10">
        <v>24</v>
      </c>
      <c r="EU12" s="10">
        <v>0</v>
      </c>
      <c r="EV12" s="10">
        <v>15</v>
      </c>
      <c r="EW12" s="10">
        <v>55</v>
      </c>
      <c r="EX12" s="10">
        <v>611</v>
      </c>
      <c r="EY12" s="10">
        <v>34</v>
      </c>
      <c r="EZ12" s="10">
        <v>9</v>
      </c>
      <c r="FA12" s="10">
        <v>28</v>
      </c>
      <c r="FB12" s="10">
        <v>851</v>
      </c>
      <c r="FC12" s="56">
        <v>2125</v>
      </c>
      <c r="FD12" s="56">
        <v>5200</v>
      </c>
      <c r="FE12" s="56">
        <v>22</v>
      </c>
      <c r="FF12" s="56">
        <v>1</v>
      </c>
      <c r="FG12" s="56">
        <v>340</v>
      </c>
      <c r="FH12" s="56">
        <v>1</v>
      </c>
      <c r="FI12" s="56">
        <v>200</v>
      </c>
      <c r="FJ12" s="56">
        <v>775</v>
      </c>
      <c r="FK12" s="56">
        <v>7900</v>
      </c>
      <c r="FL12" s="56">
        <v>30</v>
      </c>
      <c r="FM12" s="56">
        <v>110</v>
      </c>
      <c r="FN12" s="56">
        <v>295</v>
      </c>
      <c r="FO12" s="56">
        <v>7900</v>
      </c>
    </row>
    <row r="13" spans="1:171" x14ac:dyDescent="0.25">
      <c r="A13" s="25">
        <v>12</v>
      </c>
      <c r="B13" s="27" t="s">
        <v>434</v>
      </c>
      <c r="C13" s="10">
        <v>3</v>
      </c>
      <c r="D13" s="10">
        <v>8.1999999999999993</v>
      </c>
      <c r="E13" s="10">
        <v>3</v>
      </c>
      <c r="F13" s="10">
        <v>8.1999999999999993</v>
      </c>
      <c r="G13" s="16">
        <v>446</v>
      </c>
      <c r="H13" s="16">
        <v>2369</v>
      </c>
      <c r="I13" s="16">
        <v>796338</v>
      </c>
      <c r="J13" s="16"/>
      <c r="K13" s="16"/>
      <c r="L13" s="10"/>
      <c r="M13" s="10"/>
      <c r="N13" s="10"/>
      <c r="O13" s="10"/>
      <c r="P13" s="10">
        <v>5</v>
      </c>
      <c r="Q13" s="10">
        <v>10.9</v>
      </c>
      <c r="R13" s="10">
        <v>5</v>
      </c>
      <c r="S13" s="10">
        <v>10.9</v>
      </c>
      <c r="T13" s="16"/>
      <c r="U13" s="10"/>
      <c r="V13" s="10">
        <v>495151</v>
      </c>
      <c r="W13" s="10"/>
      <c r="X13" s="10"/>
      <c r="Y13" s="10"/>
      <c r="Z13" s="10"/>
      <c r="AA13" s="10"/>
      <c r="AB13" s="10"/>
      <c r="AC13" s="10">
        <v>4</v>
      </c>
      <c r="AD13" s="10">
        <v>10.9</v>
      </c>
      <c r="AE13" s="10">
        <v>3</v>
      </c>
      <c r="AF13" s="10">
        <v>10</v>
      </c>
      <c r="AG13" s="10"/>
      <c r="AH13" s="10"/>
      <c r="AI13" s="10">
        <v>389551</v>
      </c>
      <c r="AJ13" s="10"/>
      <c r="AK13" s="10"/>
      <c r="AL13" s="10"/>
      <c r="AM13" s="10"/>
      <c r="AN13" s="10"/>
      <c r="AO13" s="10"/>
      <c r="AP13" s="10">
        <v>4</v>
      </c>
      <c r="AQ13" s="10">
        <v>10.9</v>
      </c>
      <c r="AR13" s="10">
        <v>3</v>
      </c>
      <c r="AS13" s="10">
        <v>9.5</v>
      </c>
      <c r="AT13" s="10"/>
      <c r="AU13" s="10"/>
      <c r="AV13" s="10">
        <v>395487</v>
      </c>
      <c r="AW13" s="10"/>
      <c r="AX13" s="10"/>
      <c r="AY13" s="10"/>
      <c r="AZ13" s="10"/>
      <c r="BA13" s="10"/>
      <c r="BB13" s="10"/>
      <c r="BC13" s="10">
        <v>10</v>
      </c>
      <c r="BD13" s="10">
        <v>14.2</v>
      </c>
      <c r="BE13" s="10">
        <v>2</v>
      </c>
      <c r="BF13" s="10">
        <v>8.6999999999999993</v>
      </c>
      <c r="BG13" s="10"/>
      <c r="BH13" s="10"/>
      <c r="BI13" s="10">
        <v>418565</v>
      </c>
      <c r="BJ13" s="10"/>
      <c r="BK13" s="10"/>
      <c r="BL13" s="10"/>
      <c r="BM13" s="10"/>
      <c r="BN13" s="10"/>
      <c r="BO13" s="10"/>
      <c r="BP13" s="10">
        <v>8</v>
      </c>
      <c r="BQ13" s="10">
        <v>15.5</v>
      </c>
      <c r="BR13" s="10">
        <v>4</v>
      </c>
      <c r="BS13" s="10">
        <v>9.1</v>
      </c>
      <c r="BT13" s="10"/>
      <c r="BU13" s="10"/>
      <c r="BV13" s="10">
        <v>347325</v>
      </c>
      <c r="BW13" s="10"/>
      <c r="BX13" s="10"/>
      <c r="BY13" s="10"/>
      <c r="BZ13" s="10"/>
      <c r="CA13" s="10"/>
      <c r="CB13" s="10"/>
      <c r="CC13" s="10">
        <v>4</v>
      </c>
      <c r="CD13" s="10">
        <v>14.8</v>
      </c>
      <c r="CE13" s="10">
        <v>3</v>
      </c>
      <c r="CF13" s="10">
        <v>9</v>
      </c>
      <c r="CG13" s="10"/>
      <c r="CH13" s="10"/>
      <c r="CI13" s="10">
        <v>441258</v>
      </c>
      <c r="CJ13" s="10"/>
      <c r="CK13" s="10"/>
      <c r="CL13" s="10"/>
      <c r="CM13" s="10"/>
      <c r="CN13" s="10"/>
      <c r="CO13" s="10"/>
      <c r="CP13" s="10">
        <v>1</v>
      </c>
      <c r="CQ13" s="10">
        <v>13.3</v>
      </c>
      <c r="CR13" s="10">
        <v>0</v>
      </c>
      <c r="CS13" s="10">
        <v>7.8</v>
      </c>
      <c r="CT13" s="10"/>
      <c r="CU13" s="10"/>
      <c r="CV13" s="10">
        <v>383452</v>
      </c>
      <c r="CW13" s="10"/>
      <c r="CX13" s="10"/>
      <c r="CY13" s="10"/>
      <c r="CZ13" s="10"/>
      <c r="DA13" s="10"/>
      <c r="DB13" s="10"/>
      <c r="DC13" s="10">
        <v>9</v>
      </c>
      <c r="DD13" s="10">
        <v>14.5</v>
      </c>
      <c r="DE13" s="10">
        <v>5</v>
      </c>
      <c r="DF13" s="10">
        <v>8.5</v>
      </c>
      <c r="DG13" s="10"/>
      <c r="DH13" s="10"/>
      <c r="DI13" s="10">
        <v>511090</v>
      </c>
      <c r="DJ13" s="10"/>
      <c r="DK13" s="10"/>
      <c r="DL13" s="10"/>
      <c r="DM13" s="10"/>
      <c r="DN13" s="10"/>
      <c r="DO13" s="10"/>
      <c r="DP13" s="10">
        <v>0</v>
      </c>
      <c r="DQ13" s="10">
        <v>13.1</v>
      </c>
      <c r="DR13" s="10">
        <v>0</v>
      </c>
      <c r="DS13" s="10">
        <v>7.6</v>
      </c>
      <c r="DT13" s="10"/>
      <c r="DU13" s="10"/>
      <c r="DV13" s="10">
        <v>469812</v>
      </c>
      <c r="DW13" s="10"/>
      <c r="DX13" s="10"/>
      <c r="DY13" s="10"/>
      <c r="DZ13" s="10"/>
      <c r="EA13" s="10"/>
      <c r="EB13" s="10"/>
      <c r="EC13" s="10">
        <v>5</v>
      </c>
      <c r="ED13" s="10">
        <v>13.1</v>
      </c>
      <c r="EE13" s="10">
        <v>4</v>
      </c>
      <c r="EF13" s="10">
        <v>7.9</v>
      </c>
      <c r="EG13" s="10"/>
      <c r="EH13" s="10"/>
      <c r="EI13" s="10">
        <v>537241</v>
      </c>
      <c r="EJ13" s="10"/>
      <c r="EK13" s="10"/>
      <c r="EL13" s="10"/>
      <c r="EM13" s="10"/>
      <c r="EN13" s="10"/>
      <c r="EO13" s="10"/>
      <c r="EP13" s="10">
        <v>1</v>
      </c>
      <c r="EQ13" s="10">
        <v>12.3</v>
      </c>
      <c r="ER13" s="10">
        <v>1</v>
      </c>
      <c r="ES13" s="10">
        <v>7.5</v>
      </c>
      <c r="ET13" s="10"/>
      <c r="EU13" s="10"/>
      <c r="EV13" s="10">
        <v>428610</v>
      </c>
      <c r="EW13" s="10"/>
      <c r="EX13" s="10"/>
      <c r="EY13" s="10"/>
      <c r="EZ13" s="10"/>
      <c r="FA13" s="10"/>
      <c r="FB13" s="10"/>
      <c r="FC13" s="56">
        <v>40</v>
      </c>
      <c r="FD13" s="56">
        <v>9</v>
      </c>
      <c r="FE13" s="56">
        <v>25</v>
      </c>
      <c r="FF13" s="56">
        <v>6.5</v>
      </c>
      <c r="FG13" s="56">
        <v>2500</v>
      </c>
      <c r="FH13" s="56">
        <v>25600</v>
      </c>
      <c r="FI13" s="56">
        <v>5314022</v>
      </c>
      <c r="FJ13" s="56"/>
      <c r="FK13" s="56"/>
      <c r="FL13" s="56"/>
      <c r="FM13" s="56"/>
      <c r="FN13" s="56"/>
      <c r="FO13" s="56"/>
    </row>
    <row r="14" spans="1:171" x14ac:dyDescent="0.25">
      <c r="A14" s="25">
        <v>13</v>
      </c>
      <c r="B14" s="27" t="s">
        <v>228</v>
      </c>
      <c r="C14" s="10">
        <v>295</v>
      </c>
      <c r="D14" s="10">
        <v>46</v>
      </c>
      <c r="E14" s="10">
        <v>176</v>
      </c>
      <c r="F14" s="10">
        <v>225</v>
      </c>
      <c r="G14" s="16">
        <v>151</v>
      </c>
      <c r="H14" s="16">
        <v>4</v>
      </c>
      <c r="I14" s="16">
        <v>1.42</v>
      </c>
      <c r="J14" s="16">
        <v>42.7</v>
      </c>
      <c r="K14" s="16">
        <v>6.25</v>
      </c>
      <c r="L14" s="10">
        <v>350</v>
      </c>
      <c r="M14" s="10">
        <v>100</v>
      </c>
      <c r="N14" s="10"/>
      <c r="O14" s="10"/>
      <c r="P14" s="10">
        <v>455</v>
      </c>
      <c r="Q14" s="10">
        <v>64</v>
      </c>
      <c r="R14" s="10">
        <v>259</v>
      </c>
      <c r="S14" s="10">
        <v>236</v>
      </c>
      <c r="T14" s="16">
        <v>171</v>
      </c>
      <c r="U14" s="10">
        <v>0</v>
      </c>
      <c r="V14" s="10">
        <v>2.12</v>
      </c>
      <c r="W14" s="10">
        <v>51.5</v>
      </c>
      <c r="X14" s="10">
        <v>5.64</v>
      </c>
      <c r="Y14" s="10">
        <v>318</v>
      </c>
      <c r="Z14" s="10">
        <v>84</v>
      </c>
      <c r="AA14" s="10"/>
      <c r="AB14" s="10"/>
      <c r="AC14" s="10">
        <v>331</v>
      </c>
      <c r="AD14" s="10">
        <v>65</v>
      </c>
      <c r="AE14" s="10">
        <v>211</v>
      </c>
      <c r="AF14" s="10">
        <v>203</v>
      </c>
      <c r="AG14" s="10">
        <v>170</v>
      </c>
      <c r="AH14" s="10">
        <v>6</v>
      </c>
      <c r="AI14" s="10">
        <v>1.83</v>
      </c>
      <c r="AJ14" s="10">
        <v>54.8</v>
      </c>
      <c r="AK14" s="10">
        <v>3.82</v>
      </c>
      <c r="AL14" s="10">
        <v>222</v>
      </c>
      <c r="AM14" s="10">
        <v>100</v>
      </c>
      <c r="AN14" s="10"/>
      <c r="AO14" s="10"/>
      <c r="AP14" s="10">
        <v>388</v>
      </c>
      <c r="AQ14" s="10">
        <v>46</v>
      </c>
      <c r="AR14" s="10">
        <v>270</v>
      </c>
      <c r="AS14" s="10">
        <v>211</v>
      </c>
      <c r="AT14" s="10">
        <v>213</v>
      </c>
      <c r="AU14" s="10">
        <v>0</v>
      </c>
      <c r="AV14" s="10">
        <v>1.63</v>
      </c>
      <c r="AW14" s="10">
        <v>49</v>
      </c>
      <c r="AX14" s="10">
        <v>9.44</v>
      </c>
      <c r="AY14" s="10">
        <v>376</v>
      </c>
      <c r="AZ14" s="10">
        <v>100</v>
      </c>
      <c r="BA14" s="10"/>
      <c r="BB14" s="10"/>
      <c r="BC14" s="10">
        <v>300</v>
      </c>
      <c r="BD14" s="10">
        <v>23</v>
      </c>
      <c r="BE14" s="10">
        <v>206</v>
      </c>
      <c r="BF14" s="10">
        <v>173</v>
      </c>
      <c r="BG14" s="10">
        <v>207</v>
      </c>
      <c r="BH14" s="10">
        <v>1</v>
      </c>
      <c r="BI14" s="10">
        <v>1.6</v>
      </c>
      <c r="BJ14" s="10">
        <v>47.9</v>
      </c>
      <c r="BK14" s="10">
        <v>5.25</v>
      </c>
      <c r="BL14" s="10">
        <v>269</v>
      </c>
      <c r="BM14" s="10">
        <v>100</v>
      </c>
      <c r="BN14" s="10"/>
      <c r="BO14" s="10"/>
      <c r="BP14" s="10">
        <v>265</v>
      </c>
      <c r="BQ14" s="10">
        <v>23</v>
      </c>
      <c r="BR14" s="10">
        <v>194</v>
      </c>
      <c r="BS14" s="10">
        <v>174</v>
      </c>
      <c r="BT14" s="10">
        <v>145</v>
      </c>
      <c r="BU14" s="10">
        <v>0</v>
      </c>
      <c r="BV14" s="10">
        <v>1.48</v>
      </c>
      <c r="BW14" s="10">
        <v>44.5</v>
      </c>
      <c r="BX14" s="10">
        <v>7.26</v>
      </c>
      <c r="BY14" s="10">
        <v>267</v>
      </c>
      <c r="BZ14" s="10">
        <v>100</v>
      </c>
      <c r="CA14" s="10"/>
      <c r="CB14" s="10"/>
      <c r="CC14" s="10">
        <v>364</v>
      </c>
      <c r="CD14" s="10">
        <v>21</v>
      </c>
      <c r="CE14" s="10">
        <v>247</v>
      </c>
      <c r="CF14" s="10">
        <v>194</v>
      </c>
      <c r="CG14" s="10">
        <v>183</v>
      </c>
      <c r="CH14" s="10">
        <v>0</v>
      </c>
      <c r="CI14" s="10">
        <v>1.6</v>
      </c>
      <c r="CJ14" s="10">
        <v>48</v>
      </c>
      <c r="CK14" s="10">
        <v>25.4</v>
      </c>
      <c r="CL14" s="10">
        <v>359</v>
      </c>
      <c r="CM14" s="10">
        <v>100</v>
      </c>
      <c r="CN14" s="10"/>
      <c r="CO14" s="10"/>
      <c r="CP14" s="10">
        <v>332</v>
      </c>
      <c r="CQ14" s="10">
        <v>22</v>
      </c>
      <c r="CR14" s="10">
        <v>218</v>
      </c>
      <c r="CS14" s="10">
        <v>168</v>
      </c>
      <c r="CT14" s="10">
        <v>221</v>
      </c>
      <c r="CU14" s="10">
        <v>0</v>
      </c>
      <c r="CV14" s="10">
        <v>1.6</v>
      </c>
      <c r="CW14" s="10">
        <v>48.1</v>
      </c>
      <c r="CX14" s="10">
        <v>4.26</v>
      </c>
      <c r="CY14" s="10">
        <v>262</v>
      </c>
      <c r="CZ14" s="10">
        <v>89</v>
      </c>
      <c r="DA14" s="10"/>
      <c r="DB14" s="10"/>
      <c r="DC14" s="10">
        <v>403</v>
      </c>
      <c r="DD14" s="10">
        <v>40</v>
      </c>
      <c r="DE14" s="10">
        <v>246</v>
      </c>
      <c r="DF14" s="10">
        <v>260</v>
      </c>
      <c r="DG14" s="10">
        <v>206</v>
      </c>
      <c r="DH14" s="10">
        <v>0</v>
      </c>
      <c r="DI14" s="10">
        <v>1.83</v>
      </c>
      <c r="DJ14" s="10">
        <v>55</v>
      </c>
      <c r="DK14" s="10">
        <v>11.16</v>
      </c>
      <c r="DL14" s="10">
        <v>411</v>
      </c>
      <c r="DM14" s="10">
        <v>100</v>
      </c>
      <c r="DN14" s="10" t="s">
        <v>330</v>
      </c>
      <c r="DO14" s="10"/>
      <c r="DP14" s="10">
        <v>398</v>
      </c>
      <c r="DQ14" s="10">
        <v>31</v>
      </c>
      <c r="DR14" s="10">
        <v>257</v>
      </c>
      <c r="DS14" s="10">
        <v>258</v>
      </c>
      <c r="DT14" s="10">
        <v>169</v>
      </c>
      <c r="DU14" s="10">
        <v>0</v>
      </c>
      <c r="DV14" s="10">
        <v>1.77</v>
      </c>
      <c r="DW14" s="10">
        <v>53</v>
      </c>
      <c r="DX14" s="10">
        <v>10.9</v>
      </c>
      <c r="DY14" s="10">
        <v>554</v>
      </c>
      <c r="DZ14" s="10">
        <v>96</v>
      </c>
      <c r="EA14" s="10"/>
      <c r="EB14" s="10"/>
      <c r="EC14" s="10">
        <v>508</v>
      </c>
      <c r="ED14" s="10">
        <v>57</v>
      </c>
      <c r="EE14" s="10">
        <v>280</v>
      </c>
      <c r="EF14" s="10">
        <v>293</v>
      </c>
      <c r="EG14" s="10">
        <v>252</v>
      </c>
      <c r="EH14" s="10">
        <v>0</v>
      </c>
      <c r="EI14" s="10">
        <v>2.8</v>
      </c>
      <c r="EJ14" s="10">
        <v>63.2</v>
      </c>
      <c r="EK14" s="10">
        <v>7.24</v>
      </c>
      <c r="EL14" s="10">
        <v>399</v>
      </c>
      <c r="EM14" s="10">
        <v>83</v>
      </c>
      <c r="EN14" s="10"/>
      <c r="EO14" s="10"/>
      <c r="EP14" s="10">
        <v>374</v>
      </c>
      <c r="EQ14" s="10">
        <v>52</v>
      </c>
      <c r="ER14" s="10">
        <v>263</v>
      </c>
      <c r="ES14" s="10">
        <v>235</v>
      </c>
      <c r="ET14" s="10">
        <v>228</v>
      </c>
      <c r="EU14" s="10">
        <v>0</v>
      </c>
      <c r="EV14" s="10">
        <v>2.19</v>
      </c>
      <c r="EW14" s="10">
        <v>57.6</v>
      </c>
      <c r="EX14" s="10">
        <v>13.16</v>
      </c>
      <c r="EY14" s="10">
        <v>330</v>
      </c>
      <c r="EZ14" s="10">
        <v>100</v>
      </c>
      <c r="FA14" s="10"/>
      <c r="FB14" s="10"/>
      <c r="FC14" s="56">
        <v>3350</v>
      </c>
      <c r="FD14" s="56">
        <v>470</v>
      </c>
      <c r="FE14" s="56">
        <v>2450</v>
      </c>
      <c r="FF14" s="56">
        <v>1900</v>
      </c>
      <c r="FG14" s="56">
        <v>2175</v>
      </c>
      <c r="FH14" s="56">
        <v>75</v>
      </c>
      <c r="FI14" s="56">
        <v>1.5</v>
      </c>
      <c r="FJ14" s="56">
        <v>45</v>
      </c>
      <c r="FK14" s="56">
        <v>70</v>
      </c>
      <c r="FL14" s="56">
        <v>3300</v>
      </c>
      <c r="FM14" s="56">
        <v>90</v>
      </c>
      <c r="FN14" s="56"/>
      <c r="FO14" s="56"/>
    </row>
    <row r="15" spans="1:171" x14ac:dyDescent="0.25">
      <c r="A15" s="25">
        <v>14</v>
      </c>
      <c r="B15" s="27" t="s">
        <v>230</v>
      </c>
      <c r="C15" s="10">
        <v>100</v>
      </c>
      <c r="D15" s="10">
        <v>100</v>
      </c>
      <c r="E15" s="10">
        <v>100</v>
      </c>
      <c r="F15" s="10">
        <v>80</v>
      </c>
      <c r="G15" s="10">
        <v>100</v>
      </c>
      <c r="H15" s="10">
        <v>6</v>
      </c>
      <c r="I15" s="10">
        <v>211</v>
      </c>
      <c r="J15" s="10"/>
      <c r="K15" s="10"/>
      <c r="L15" s="10"/>
      <c r="M15" s="10"/>
      <c r="N15" s="10"/>
      <c r="O15" s="10"/>
      <c r="P15" s="10">
        <v>100</v>
      </c>
      <c r="Q15" s="10">
        <v>100</v>
      </c>
      <c r="R15" s="10">
        <v>100</v>
      </c>
      <c r="S15" s="10">
        <v>100</v>
      </c>
      <c r="T15" s="16">
        <v>100</v>
      </c>
      <c r="U15" s="10">
        <v>2</v>
      </c>
      <c r="V15" s="10">
        <v>271</v>
      </c>
      <c r="W15" s="10"/>
      <c r="X15" s="10"/>
      <c r="Y15" s="10"/>
      <c r="Z15" s="10"/>
      <c r="AA15" s="10"/>
      <c r="AB15" s="10"/>
      <c r="AC15" s="10">
        <v>100</v>
      </c>
      <c r="AD15" s="10">
        <v>100</v>
      </c>
      <c r="AE15" s="10">
        <v>100</v>
      </c>
      <c r="AF15" s="10">
        <v>0</v>
      </c>
      <c r="AG15" s="10">
        <v>100</v>
      </c>
      <c r="AH15" s="10">
        <v>1</v>
      </c>
      <c r="AI15" s="10">
        <v>490</v>
      </c>
      <c r="AJ15" s="10"/>
      <c r="AK15" s="10"/>
      <c r="AL15" s="10"/>
      <c r="AM15" s="10"/>
      <c r="AN15" s="10"/>
      <c r="AO15" s="10"/>
      <c r="AP15" s="10">
        <v>100</v>
      </c>
      <c r="AQ15" s="10">
        <v>100</v>
      </c>
      <c r="AR15" s="10">
        <v>100</v>
      </c>
      <c r="AS15" s="10">
        <v>0</v>
      </c>
      <c r="AT15" s="10">
        <v>100</v>
      </c>
      <c r="AU15" s="10">
        <v>1</v>
      </c>
      <c r="AV15" s="10">
        <v>557</v>
      </c>
      <c r="AW15" s="10"/>
      <c r="AX15" s="10"/>
      <c r="AY15" s="10"/>
      <c r="AZ15" s="10"/>
      <c r="BA15" s="10"/>
      <c r="BB15" s="10"/>
      <c r="BC15" s="10">
        <v>100</v>
      </c>
      <c r="BD15" s="10">
        <v>100</v>
      </c>
      <c r="BE15" s="10">
        <v>100</v>
      </c>
      <c r="BF15" s="10">
        <v>100</v>
      </c>
      <c r="BG15" s="10">
        <v>100</v>
      </c>
      <c r="BH15" s="10">
        <v>1</v>
      </c>
      <c r="BI15" s="10">
        <v>102</v>
      </c>
      <c r="BJ15" s="10"/>
      <c r="BK15" s="10"/>
      <c r="BL15" s="10"/>
      <c r="BM15" s="10"/>
      <c r="BN15" s="10"/>
      <c r="BO15" s="10"/>
      <c r="BP15" s="10">
        <v>100</v>
      </c>
      <c r="BQ15" s="10">
        <v>100</v>
      </c>
      <c r="BR15" s="10">
        <v>100</v>
      </c>
      <c r="BS15" s="10">
        <v>0</v>
      </c>
      <c r="BT15" s="10">
        <v>0</v>
      </c>
      <c r="BU15" s="10">
        <v>0</v>
      </c>
      <c r="BV15" s="10">
        <v>362</v>
      </c>
      <c r="BW15" s="10"/>
      <c r="BX15" s="10"/>
      <c r="BY15" s="10"/>
      <c r="BZ15" s="10"/>
      <c r="CA15" s="10"/>
      <c r="CB15" s="10"/>
      <c r="CC15" s="10">
        <v>100</v>
      </c>
      <c r="CD15" s="10">
        <v>100</v>
      </c>
      <c r="CE15" s="10">
        <v>100</v>
      </c>
      <c r="CF15" s="10">
        <v>0</v>
      </c>
      <c r="CG15" s="10">
        <v>0</v>
      </c>
      <c r="CH15" s="10">
        <v>0</v>
      </c>
      <c r="CI15" s="10">
        <v>397</v>
      </c>
      <c r="CJ15" s="10"/>
      <c r="CK15" s="10"/>
      <c r="CL15" s="10"/>
      <c r="CM15" s="10"/>
      <c r="CN15" s="10"/>
      <c r="CO15" s="10"/>
      <c r="CP15" s="10">
        <v>100</v>
      </c>
      <c r="CQ15" s="10">
        <v>100</v>
      </c>
      <c r="CR15" s="10">
        <v>100</v>
      </c>
      <c r="CS15" s="10">
        <v>0</v>
      </c>
      <c r="CT15" s="10">
        <v>0</v>
      </c>
      <c r="CU15" s="10">
        <v>0</v>
      </c>
      <c r="CV15" s="10">
        <v>183</v>
      </c>
      <c r="CW15" s="10"/>
      <c r="CX15" s="10"/>
      <c r="CY15" s="10"/>
      <c r="CZ15" s="10"/>
      <c r="DA15" s="10"/>
      <c r="DB15" s="10"/>
      <c r="DC15" s="10">
        <v>100</v>
      </c>
      <c r="DD15" s="10">
        <v>100</v>
      </c>
      <c r="DE15" s="10">
        <v>100</v>
      </c>
      <c r="DF15" s="10">
        <v>0</v>
      </c>
      <c r="DG15" s="10">
        <v>0</v>
      </c>
      <c r="DH15" s="10">
        <v>0</v>
      </c>
      <c r="DI15" s="10">
        <v>630</v>
      </c>
      <c r="DJ15" s="10"/>
      <c r="DK15" s="10"/>
      <c r="DL15" s="10"/>
      <c r="DM15" s="10"/>
      <c r="DN15" s="10"/>
      <c r="DO15" s="10"/>
      <c r="DP15" s="10">
        <v>100</v>
      </c>
      <c r="DQ15" s="10">
        <v>100</v>
      </c>
      <c r="DR15" s="10">
        <v>100</v>
      </c>
      <c r="DS15" s="10">
        <v>0</v>
      </c>
      <c r="DT15" s="10">
        <v>0</v>
      </c>
      <c r="DU15" s="10">
        <v>0</v>
      </c>
      <c r="DV15" s="10">
        <v>762</v>
      </c>
      <c r="DW15" s="10"/>
      <c r="DX15" s="10"/>
      <c r="DY15" s="10"/>
      <c r="DZ15" s="10"/>
      <c r="EA15" s="10"/>
      <c r="EB15" s="10"/>
      <c r="EC15" s="10">
        <v>100</v>
      </c>
      <c r="ED15" s="10">
        <v>100</v>
      </c>
      <c r="EE15" s="10">
        <v>100</v>
      </c>
      <c r="EF15" s="10">
        <v>0</v>
      </c>
      <c r="EG15" s="10">
        <v>0</v>
      </c>
      <c r="EH15" s="10">
        <v>0</v>
      </c>
      <c r="EI15" s="10">
        <v>630</v>
      </c>
      <c r="EJ15" s="10"/>
      <c r="EK15" s="10"/>
      <c r="EL15" s="10"/>
      <c r="EM15" s="10"/>
      <c r="EN15" s="10"/>
      <c r="EO15" s="10"/>
      <c r="EP15" s="10">
        <v>100</v>
      </c>
      <c r="EQ15" s="10">
        <v>100</v>
      </c>
      <c r="ER15" s="10">
        <v>100</v>
      </c>
      <c r="ES15" s="10">
        <v>0</v>
      </c>
      <c r="ET15" s="10">
        <v>0</v>
      </c>
      <c r="EU15" s="10">
        <v>0</v>
      </c>
      <c r="EV15" s="10">
        <v>785</v>
      </c>
      <c r="EW15" s="10"/>
      <c r="EX15" s="10"/>
      <c r="EY15" s="10"/>
      <c r="EZ15" s="10"/>
      <c r="FA15" s="10"/>
      <c r="FB15" s="10"/>
      <c r="FC15" s="56">
        <v>99.99</v>
      </c>
      <c r="FD15" s="56">
        <v>99.99</v>
      </c>
      <c r="FE15" s="56">
        <v>99.99</v>
      </c>
      <c r="FF15" s="56">
        <v>55</v>
      </c>
      <c r="FG15" s="56">
        <v>75</v>
      </c>
      <c r="FH15" s="56">
        <v>50</v>
      </c>
      <c r="FI15" s="56"/>
      <c r="FJ15" s="56"/>
      <c r="FK15" s="56"/>
      <c r="FL15" s="56"/>
      <c r="FM15" s="56"/>
      <c r="FN15" s="56"/>
      <c r="FO15" s="56"/>
    </row>
    <row r="16" spans="1:171" x14ac:dyDescent="0.25">
      <c r="A16" s="25">
        <v>15</v>
      </c>
      <c r="B16" s="27" t="s">
        <v>7</v>
      </c>
      <c r="C16" s="10">
        <v>129.1</v>
      </c>
      <c r="D16" s="10">
        <v>13.9</v>
      </c>
      <c r="E16" s="10">
        <v>286</v>
      </c>
      <c r="F16" s="10">
        <v>9.1999999999999993</v>
      </c>
      <c r="G16" s="10">
        <v>264</v>
      </c>
      <c r="H16" s="10">
        <v>87.5</v>
      </c>
      <c r="I16" s="10"/>
      <c r="J16" s="10"/>
      <c r="K16" s="10"/>
      <c r="L16" s="10"/>
      <c r="M16" s="10"/>
      <c r="N16" s="10"/>
      <c r="O16" s="10"/>
      <c r="P16" s="10">
        <v>131.6</v>
      </c>
      <c r="Q16" s="10">
        <v>14.1</v>
      </c>
      <c r="R16" s="10">
        <v>289</v>
      </c>
      <c r="S16" s="10">
        <v>9.3000000000000007</v>
      </c>
      <c r="T16" s="16">
        <v>299</v>
      </c>
      <c r="U16" s="10">
        <v>83.7</v>
      </c>
      <c r="V16" s="10"/>
      <c r="W16" s="10"/>
      <c r="X16" s="10"/>
      <c r="Y16" s="10"/>
      <c r="Z16" s="10"/>
      <c r="AA16" s="10"/>
      <c r="AB16" s="10"/>
      <c r="AI16" s="10"/>
      <c r="AJ16" s="10"/>
      <c r="AK16" s="10"/>
      <c r="AL16" s="10"/>
      <c r="AM16" s="10"/>
      <c r="AN16" s="10"/>
      <c r="AO16" s="10"/>
      <c r="AP16" s="10">
        <v>127.6</v>
      </c>
      <c r="AQ16" s="10">
        <v>14.4</v>
      </c>
      <c r="AR16" s="10">
        <v>275</v>
      </c>
      <c r="AS16" s="10">
        <v>8.9</v>
      </c>
      <c r="AT16" s="10">
        <v>255</v>
      </c>
      <c r="AU16" s="10">
        <v>82</v>
      </c>
      <c r="AV16" s="10"/>
      <c r="AW16" s="10"/>
      <c r="AX16" s="10"/>
      <c r="AY16" s="10"/>
      <c r="AZ16" s="10"/>
      <c r="BA16" s="10"/>
      <c r="BB16" s="10"/>
      <c r="BC16" s="10">
        <v>137.69999999999999</v>
      </c>
      <c r="BD16" s="10">
        <v>17.600000000000001</v>
      </c>
      <c r="BE16" s="10">
        <v>234</v>
      </c>
      <c r="BF16" s="10">
        <v>7.8</v>
      </c>
      <c r="BG16" s="10">
        <v>238</v>
      </c>
      <c r="BH16" s="10">
        <v>85.8</v>
      </c>
      <c r="BI16" s="10"/>
      <c r="BJ16" s="10"/>
      <c r="BK16" s="10"/>
      <c r="BL16" s="10"/>
      <c r="BM16" s="10"/>
      <c r="BN16" s="10"/>
      <c r="BO16" s="10"/>
      <c r="BP16" s="10">
        <v>133.4</v>
      </c>
      <c r="BQ16" s="10">
        <v>20.100000000000001</v>
      </c>
      <c r="BR16" s="10">
        <v>206</v>
      </c>
      <c r="BS16" s="10">
        <v>6.6</v>
      </c>
      <c r="BT16" s="10">
        <v>219</v>
      </c>
      <c r="BU16" s="10">
        <v>87.3</v>
      </c>
      <c r="BV16" s="10"/>
      <c r="BW16" s="10"/>
      <c r="BX16" s="10"/>
      <c r="BY16" s="10"/>
      <c r="BZ16" s="10"/>
      <c r="CA16" s="10"/>
      <c r="CB16" s="10"/>
      <c r="CC16" s="10">
        <v>137.30000000000001</v>
      </c>
      <c r="CD16" s="10">
        <v>16.8</v>
      </c>
      <c r="CE16" s="10">
        <v>253</v>
      </c>
      <c r="CF16" s="10">
        <v>8.1999999999999993</v>
      </c>
      <c r="CG16" s="10">
        <v>243</v>
      </c>
      <c r="CH16" s="10">
        <v>89.8</v>
      </c>
      <c r="CI16" s="10"/>
      <c r="CJ16" s="10"/>
      <c r="CK16" s="10"/>
      <c r="CL16" s="10"/>
      <c r="CM16" s="10"/>
      <c r="CN16" s="10"/>
      <c r="CO16" s="10"/>
      <c r="CP16" s="10">
        <v>126.3</v>
      </c>
      <c r="CQ16" s="10">
        <v>15.9</v>
      </c>
      <c r="CR16" s="10">
        <v>222</v>
      </c>
      <c r="CS16" s="10">
        <v>7.9</v>
      </c>
      <c r="CT16" s="10">
        <v>235</v>
      </c>
      <c r="CU16" s="10">
        <v>88.9</v>
      </c>
      <c r="CV16" s="10"/>
      <c r="CW16" s="10"/>
      <c r="CX16" s="10"/>
      <c r="CY16" s="10"/>
      <c r="CZ16" s="10"/>
      <c r="DA16" s="10"/>
      <c r="DB16" s="10"/>
      <c r="DC16" s="10">
        <v>121.6</v>
      </c>
      <c r="DD16" s="10">
        <v>14.5</v>
      </c>
      <c r="DE16" s="10">
        <v>260</v>
      </c>
      <c r="DF16" s="10">
        <v>8.4</v>
      </c>
      <c r="DG16" s="10">
        <v>261</v>
      </c>
      <c r="DH16" s="10">
        <v>88.3</v>
      </c>
      <c r="DI16" s="10"/>
      <c r="DJ16" s="10"/>
      <c r="DK16" s="10"/>
      <c r="DL16" s="10"/>
      <c r="DM16" s="10"/>
      <c r="DN16" s="10"/>
      <c r="DO16" s="10"/>
      <c r="DP16" s="10">
        <v>120.2</v>
      </c>
      <c r="DQ16" s="10">
        <v>13.4</v>
      </c>
      <c r="DR16" s="10">
        <v>270</v>
      </c>
      <c r="DS16" s="10">
        <v>9</v>
      </c>
      <c r="DT16" s="10">
        <v>268</v>
      </c>
      <c r="DU16" s="10">
        <v>85.4</v>
      </c>
      <c r="DV16" s="10"/>
      <c r="DW16" s="10"/>
      <c r="DX16" s="10"/>
      <c r="DY16" s="10"/>
      <c r="DZ16" s="10"/>
      <c r="EA16" s="10"/>
      <c r="EB16" s="10"/>
      <c r="EC16" s="10">
        <v>130</v>
      </c>
      <c r="ED16" s="10">
        <v>15.2</v>
      </c>
      <c r="EE16" s="10">
        <v>265</v>
      </c>
      <c r="EF16" s="10">
        <v>8.5</v>
      </c>
      <c r="EG16" s="10">
        <v>252</v>
      </c>
      <c r="EH16" s="10">
        <v>86.4</v>
      </c>
      <c r="EI16" s="10"/>
      <c r="EJ16" s="10"/>
      <c r="EK16" s="10"/>
      <c r="EL16" s="10"/>
      <c r="EM16" s="10"/>
      <c r="EN16" s="10"/>
      <c r="EO16" s="10"/>
      <c r="EP16" s="10">
        <v>144.69999999999999</v>
      </c>
      <c r="EQ16" s="10">
        <v>15.9</v>
      </c>
      <c r="ER16" s="10">
        <v>217</v>
      </c>
      <c r="ES16" s="10">
        <v>7.2</v>
      </c>
      <c r="ET16" s="10">
        <v>216</v>
      </c>
      <c r="EU16" s="10">
        <v>88.2</v>
      </c>
      <c r="EV16" s="10"/>
      <c r="EW16" s="10"/>
      <c r="EX16" s="10"/>
      <c r="EY16" s="10"/>
      <c r="EZ16" s="10"/>
      <c r="FA16" s="10"/>
      <c r="FB16" s="10"/>
      <c r="FC16" s="56">
        <v>110</v>
      </c>
      <c r="FD16" s="56">
        <v>12</v>
      </c>
      <c r="FE16" s="56">
        <v>2800</v>
      </c>
      <c r="FF16" s="56">
        <v>7.5</v>
      </c>
      <c r="FG16" s="56">
        <v>2800</v>
      </c>
      <c r="FH16" s="56">
        <v>78</v>
      </c>
      <c r="FI16" s="56"/>
      <c r="FJ16" s="56"/>
      <c r="FK16" s="56"/>
      <c r="FL16" s="56"/>
      <c r="FM16" s="56"/>
      <c r="FN16" s="56"/>
      <c r="FO16" s="56"/>
    </row>
    <row r="17" spans="1:171" x14ac:dyDescent="0.25">
      <c r="A17" s="25">
        <v>16</v>
      </c>
      <c r="B17" s="27" t="s">
        <v>8</v>
      </c>
      <c r="C17" s="10">
        <v>15017</v>
      </c>
      <c r="D17" s="10">
        <v>8634</v>
      </c>
      <c r="E17" s="10">
        <v>1384</v>
      </c>
      <c r="F17" s="10">
        <v>1056</v>
      </c>
      <c r="G17" s="16">
        <v>11252</v>
      </c>
      <c r="H17" s="10">
        <v>2452</v>
      </c>
      <c r="I17" s="10">
        <v>2.14</v>
      </c>
      <c r="J17" s="10">
        <v>2.61</v>
      </c>
      <c r="K17" s="10">
        <v>0.63</v>
      </c>
      <c r="L17" s="10">
        <v>213</v>
      </c>
      <c r="M17" s="10">
        <v>156</v>
      </c>
      <c r="N17" s="10">
        <v>53</v>
      </c>
      <c r="O17" s="10">
        <v>0</v>
      </c>
      <c r="P17" s="10">
        <v>15664</v>
      </c>
      <c r="Q17" s="10">
        <v>7788</v>
      </c>
      <c r="R17" s="10">
        <v>901</v>
      </c>
      <c r="S17" s="10">
        <v>1036</v>
      </c>
      <c r="T17" s="16">
        <v>10780</v>
      </c>
      <c r="U17" s="10">
        <v>2507</v>
      </c>
      <c r="V17" s="10">
        <v>2.09</v>
      </c>
      <c r="W17" s="10">
        <v>2.57</v>
      </c>
      <c r="X17" s="10">
        <v>0.64</v>
      </c>
      <c r="Y17" s="10">
        <v>161</v>
      </c>
      <c r="Z17" s="10">
        <v>154</v>
      </c>
      <c r="AA17" s="10">
        <v>40</v>
      </c>
      <c r="AB17" s="10">
        <v>0</v>
      </c>
      <c r="AC17" s="10">
        <v>13764</v>
      </c>
      <c r="AD17" s="10">
        <v>6860</v>
      </c>
      <c r="AE17" s="10">
        <v>767</v>
      </c>
      <c r="AF17" s="10">
        <v>827</v>
      </c>
      <c r="AG17" s="10">
        <v>8065</v>
      </c>
      <c r="AH17" s="10">
        <v>2408</v>
      </c>
      <c r="AI17" s="10">
        <v>1.91</v>
      </c>
      <c r="AJ17" s="10">
        <v>2.38</v>
      </c>
      <c r="AK17" s="10">
        <v>0.69</v>
      </c>
      <c r="AL17" s="10">
        <v>148</v>
      </c>
      <c r="AM17" s="10">
        <v>204</v>
      </c>
      <c r="AN17" s="10">
        <v>37</v>
      </c>
      <c r="AO17" s="10">
        <v>0</v>
      </c>
      <c r="AP17" s="10">
        <v>13996</v>
      </c>
      <c r="AQ17" s="10">
        <v>6968</v>
      </c>
      <c r="AR17" s="10">
        <v>1032</v>
      </c>
      <c r="AS17" s="10">
        <v>988</v>
      </c>
      <c r="AT17" s="10">
        <v>10199</v>
      </c>
      <c r="AU17" s="10">
        <v>2446</v>
      </c>
      <c r="AV17" s="10">
        <v>1.92</v>
      </c>
      <c r="AW17" s="10">
        <v>2.38</v>
      </c>
      <c r="AX17" s="10">
        <v>0.69</v>
      </c>
      <c r="AY17" s="10">
        <v>366</v>
      </c>
      <c r="AZ17" s="10">
        <v>1555</v>
      </c>
      <c r="BA17" s="10">
        <v>92</v>
      </c>
      <c r="BB17" s="10">
        <v>0</v>
      </c>
      <c r="BC17" s="10">
        <v>11966</v>
      </c>
      <c r="BD17" s="10">
        <v>5712</v>
      </c>
      <c r="BE17" s="10">
        <v>1037</v>
      </c>
      <c r="BF17" s="10">
        <v>863</v>
      </c>
      <c r="BG17" s="10">
        <v>7741</v>
      </c>
      <c r="BH17" s="10">
        <v>1997</v>
      </c>
      <c r="BI17" s="10">
        <v>1.83</v>
      </c>
      <c r="BJ17" s="10">
        <v>2.2799999999999998</v>
      </c>
      <c r="BK17" s="10">
        <v>0.72</v>
      </c>
      <c r="BL17" s="10">
        <v>406</v>
      </c>
      <c r="BM17" s="10">
        <v>610</v>
      </c>
      <c r="BN17" s="10">
        <v>102</v>
      </c>
      <c r="BO17" s="10">
        <v>0</v>
      </c>
      <c r="BP17" s="15">
        <v>10707</v>
      </c>
      <c r="BQ17" s="10">
        <v>5017</v>
      </c>
      <c r="BR17" s="10">
        <v>1053</v>
      </c>
      <c r="BS17" s="10">
        <v>736</v>
      </c>
      <c r="BT17" s="10">
        <v>6793</v>
      </c>
      <c r="BU17" s="10">
        <v>1896</v>
      </c>
      <c r="BV17" s="10">
        <v>1.74</v>
      </c>
      <c r="BW17" s="10">
        <v>2.17</v>
      </c>
      <c r="BX17" s="10">
        <v>0.76</v>
      </c>
      <c r="BY17" s="10">
        <v>241</v>
      </c>
      <c r="BZ17" s="10">
        <v>159</v>
      </c>
      <c r="CA17" s="10">
        <v>60</v>
      </c>
      <c r="CB17" s="10">
        <v>0</v>
      </c>
      <c r="CC17" s="10">
        <v>13619</v>
      </c>
      <c r="CD17" s="10">
        <v>6546</v>
      </c>
      <c r="CE17" s="10">
        <v>1322</v>
      </c>
      <c r="CF17" s="10">
        <v>842</v>
      </c>
      <c r="CG17" s="10">
        <v>8626</v>
      </c>
      <c r="CH17" s="10">
        <v>2518</v>
      </c>
      <c r="CI17" s="10">
        <v>1.72</v>
      </c>
      <c r="CJ17" s="10">
        <v>2.17</v>
      </c>
      <c r="CK17" s="10">
        <v>0.76</v>
      </c>
      <c r="CL17" s="10">
        <v>225</v>
      </c>
      <c r="CM17" s="10">
        <v>228</v>
      </c>
      <c r="CN17" s="10">
        <v>56</v>
      </c>
      <c r="CO17" s="10">
        <v>0</v>
      </c>
      <c r="CP17" s="10">
        <v>12245</v>
      </c>
      <c r="CQ17" s="10">
        <v>5762</v>
      </c>
      <c r="CR17" s="10">
        <v>1164</v>
      </c>
      <c r="CS17" s="10">
        <v>904</v>
      </c>
      <c r="CT17" s="10">
        <v>8153</v>
      </c>
      <c r="CU17" s="10">
        <v>2236</v>
      </c>
      <c r="CV17" s="10">
        <v>1.7</v>
      </c>
      <c r="CW17" s="10">
        <v>2.14</v>
      </c>
      <c r="CX17" s="10">
        <v>0.77</v>
      </c>
      <c r="CY17" s="10">
        <v>203</v>
      </c>
      <c r="CZ17" s="10">
        <v>220</v>
      </c>
      <c r="DA17" s="10">
        <v>51</v>
      </c>
      <c r="DB17" s="10">
        <v>0</v>
      </c>
      <c r="DC17" s="10">
        <v>12844</v>
      </c>
      <c r="DD17" s="10">
        <v>6067</v>
      </c>
      <c r="DE17" s="10">
        <v>1052</v>
      </c>
      <c r="DF17" s="10">
        <v>828</v>
      </c>
      <c r="DG17" s="10">
        <v>8688</v>
      </c>
      <c r="DH17" s="10">
        <v>2392</v>
      </c>
      <c r="DI17" s="10">
        <v>1.7</v>
      </c>
      <c r="DJ17" s="10">
        <v>2.14</v>
      </c>
      <c r="DK17" s="10">
        <v>0.77</v>
      </c>
      <c r="DL17" s="10">
        <v>150</v>
      </c>
      <c r="DM17" s="10">
        <v>104</v>
      </c>
      <c r="DN17" s="10">
        <v>10</v>
      </c>
      <c r="DO17" s="10">
        <v>0</v>
      </c>
      <c r="DP17" s="10">
        <v>12464</v>
      </c>
      <c r="DQ17" s="10">
        <v>5845</v>
      </c>
      <c r="DR17" s="10">
        <v>1785</v>
      </c>
      <c r="DS17" s="10">
        <v>790</v>
      </c>
      <c r="DT17" s="10">
        <v>8819</v>
      </c>
      <c r="DU17" s="10">
        <v>2334</v>
      </c>
      <c r="DV17" s="10">
        <v>1.7</v>
      </c>
      <c r="DW17" s="10">
        <v>2.14</v>
      </c>
      <c r="DX17" s="10">
        <v>0.77</v>
      </c>
      <c r="DY17" s="10">
        <v>130</v>
      </c>
      <c r="DZ17" s="10">
        <v>146</v>
      </c>
      <c r="EA17" s="10">
        <v>37</v>
      </c>
      <c r="EB17" s="10">
        <v>0</v>
      </c>
      <c r="EC17" s="10">
        <v>12816</v>
      </c>
      <c r="ED17" s="10">
        <v>6079</v>
      </c>
      <c r="EE17" s="10">
        <v>1296</v>
      </c>
      <c r="EF17" s="10">
        <v>822</v>
      </c>
      <c r="EG17" s="10">
        <v>9075</v>
      </c>
      <c r="EH17" s="10">
        <v>2290</v>
      </c>
      <c r="EI17" s="10">
        <v>1.7</v>
      </c>
      <c r="EJ17" s="10">
        <v>2.14</v>
      </c>
      <c r="EK17" s="10">
        <v>0.77</v>
      </c>
      <c r="EL17" s="10">
        <v>614</v>
      </c>
      <c r="EM17" s="10">
        <v>424</v>
      </c>
      <c r="EN17" s="10">
        <v>154</v>
      </c>
      <c r="EO17" s="10"/>
      <c r="EP17" s="10">
        <v>15534</v>
      </c>
      <c r="EQ17" s="10">
        <v>7449</v>
      </c>
      <c r="ER17" s="10">
        <v>1914</v>
      </c>
      <c r="ES17" s="10">
        <v>779</v>
      </c>
      <c r="ET17" s="10">
        <v>9967</v>
      </c>
      <c r="EU17" s="10">
        <v>1632</v>
      </c>
      <c r="EV17" s="10">
        <v>1.71</v>
      </c>
      <c r="EW17" s="10">
        <v>2.14</v>
      </c>
      <c r="EX17" s="10">
        <v>0.77</v>
      </c>
      <c r="EY17" s="10">
        <v>302</v>
      </c>
      <c r="EZ17" s="10">
        <v>201</v>
      </c>
      <c r="FA17" s="10">
        <v>76</v>
      </c>
      <c r="FB17" s="10">
        <v>0</v>
      </c>
      <c r="FC17" s="56">
        <v>175000</v>
      </c>
      <c r="FD17" s="56">
        <v>96000</v>
      </c>
      <c r="FE17" s="57">
        <v>10500</v>
      </c>
      <c r="FF17" s="57">
        <v>15000</v>
      </c>
      <c r="FG17" s="57">
        <v>130000</v>
      </c>
      <c r="FH17" s="57">
        <v>35000</v>
      </c>
      <c r="FI17" s="58">
        <v>2.25</v>
      </c>
      <c r="FJ17" s="58">
        <v>3</v>
      </c>
      <c r="FK17" s="58">
        <v>0.8</v>
      </c>
      <c r="FL17" s="57">
        <v>1250</v>
      </c>
      <c r="FM17" s="57">
        <v>1500</v>
      </c>
      <c r="FN17" s="56">
        <v>20</v>
      </c>
      <c r="FO17" s="56">
        <v>5</v>
      </c>
    </row>
    <row r="18" spans="1:171" x14ac:dyDescent="0.25">
      <c r="A18" s="25">
        <v>17</v>
      </c>
      <c r="B18" s="27" t="s">
        <v>231</v>
      </c>
      <c r="C18" s="10">
        <v>47</v>
      </c>
      <c r="D18" s="10">
        <v>2</v>
      </c>
      <c r="E18" s="10">
        <v>59</v>
      </c>
      <c r="F18" s="10">
        <v>6</v>
      </c>
      <c r="G18" s="10">
        <v>402</v>
      </c>
      <c r="H18" s="10">
        <v>39</v>
      </c>
      <c r="I18" s="10">
        <v>331</v>
      </c>
      <c r="J18" s="10">
        <v>35</v>
      </c>
      <c r="K18" s="10">
        <v>66</v>
      </c>
      <c r="L18" s="10">
        <v>89</v>
      </c>
      <c r="M18" s="10">
        <v>25</v>
      </c>
      <c r="N18" s="10"/>
      <c r="O18" s="10"/>
      <c r="P18" s="10">
        <v>44</v>
      </c>
      <c r="Q18" s="10">
        <v>0</v>
      </c>
      <c r="R18" s="10">
        <v>57</v>
      </c>
      <c r="S18" s="10">
        <v>5</v>
      </c>
      <c r="T18" s="16">
        <v>452</v>
      </c>
      <c r="U18" s="10">
        <v>48</v>
      </c>
      <c r="V18" s="10">
        <v>359</v>
      </c>
      <c r="W18" s="10">
        <v>26</v>
      </c>
      <c r="X18" s="10">
        <v>74</v>
      </c>
      <c r="Y18" s="10">
        <v>91</v>
      </c>
      <c r="Z18" s="10">
        <v>42</v>
      </c>
      <c r="AA18" s="10"/>
      <c r="AB18" s="10"/>
      <c r="AC18" s="10">
        <v>45</v>
      </c>
      <c r="AD18" s="10">
        <v>0</v>
      </c>
      <c r="AE18" s="10">
        <v>56</v>
      </c>
      <c r="AF18" s="10">
        <v>4</v>
      </c>
      <c r="AG18" s="10">
        <v>447</v>
      </c>
      <c r="AH18" s="10">
        <v>45</v>
      </c>
      <c r="AI18" s="10">
        <v>379</v>
      </c>
      <c r="AJ18" s="10">
        <v>36</v>
      </c>
      <c r="AK18" s="10">
        <v>50</v>
      </c>
      <c r="AL18" s="10">
        <v>86</v>
      </c>
      <c r="AM18" s="10">
        <v>36</v>
      </c>
      <c r="AN18" s="10"/>
      <c r="AO18" s="10"/>
      <c r="AP18" s="10">
        <v>47</v>
      </c>
      <c r="AQ18" s="10">
        <v>1</v>
      </c>
      <c r="AR18" s="10">
        <v>65</v>
      </c>
      <c r="AS18" s="10">
        <v>4</v>
      </c>
      <c r="AT18" s="10">
        <v>435</v>
      </c>
      <c r="AU18" s="10">
        <v>40</v>
      </c>
      <c r="AV18" s="10">
        <v>388</v>
      </c>
      <c r="AW18" s="10">
        <v>3</v>
      </c>
      <c r="AX18" s="10">
        <v>67</v>
      </c>
      <c r="AY18" s="10">
        <v>82</v>
      </c>
      <c r="AZ18" s="10">
        <v>32</v>
      </c>
      <c r="BA18" s="10"/>
      <c r="BB18" s="10"/>
      <c r="BC18" s="10">
        <v>55</v>
      </c>
      <c r="BD18" s="10">
        <v>1</v>
      </c>
      <c r="BE18" s="10">
        <v>73</v>
      </c>
      <c r="BF18" s="10">
        <v>3</v>
      </c>
      <c r="BG18" s="10">
        <v>498</v>
      </c>
      <c r="BH18" s="10">
        <v>52</v>
      </c>
      <c r="BI18" s="10">
        <v>357</v>
      </c>
      <c r="BJ18" s="10">
        <v>14</v>
      </c>
      <c r="BK18" s="10">
        <v>60</v>
      </c>
      <c r="BL18" s="10">
        <v>79</v>
      </c>
      <c r="BM18" s="10">
        <v>36</v>
      </c>
      <c r="BN18" s="10"/>
      <c r="BO18" s="10"/>
      <c r="BP18" s="10">
        <v>63</v>
      </c>
      <c r="BQ18" s="10">
        <v>3</v>
      </c>
      <c r="BR18" s="10">
        <v>84</v>
      </c>
      <c r="BS18" s="10">
        <v>3</v>
      </c>
      <c r="BT18" s="10">
        <v>477</v>
      </c>
      <c r="BU18" s="10">
        <v>46</v>
      </c>
      <c r="BV18" s="10">
        <v>321</v>
      </c>
      <c r="BW18" s="10">
        <v>2</v>
      </c>
      <c r="BX18" s="10">
        <v>46</v>
      </c>
      <c r="BY18" s="10">
        <v>85</v>
      </c>
      <c r="BZ18" s="10">
        <v>18</v>
      </c>
      <c r="CA18" s="10"/>
      <c r="CB18" s="10"/>
      <c r="CC18" s="10">
        <v>58</v>
      </c>
      <c r="CD18" s="10">
        <v>0</v>
      </c>
      <c r="CE18" s="10">
        <v>79</v>
      </c>
      <c r="CF18" s="10">
        <v>5</v>
      </c>
      <c r="CG18" s="10">
        <v>459</v>
      </c>
      <c r="CH18" s="10">
        <v>61</v>
      </c>
      <c r="CI18" s="10">
        <v>428</v>
      </c>
      <c r="CJ18" s="10">
        <v>15</v>
      </c>
      <c r="CK18" s="10">
        <v>52</v>
      </c>
      <c r="CL18" s="10">
        <v>92</v>
      </c>
      <c r="CM18" s="10">
        <v>36</v>
      </c>
      <c r="CN18" s="10"/>
      <c r="CO18" s="10"/>
      <c r="CP18" s="10">
        <v>8</v>
      </c>
      <c r="CQ18" s="10">
        <v>0</v>
      </c>
      <c r="CR18" s="10">
        <v>0</v>
      </c>
      <c r="CS18" s="10">
        <v>2</v>
      </c>
      <c r="CT18" s="10">
        <v>228</v>
      </c>
      <c r="CU18" s="10">
        <v>6</v>
      </c>
      <c r="CV18" s="10">
        <v>201</v>
      </c>
      <c r="CW18" s="10">
        <v>33</v>
      </c>
      <c r="CX18" s="10">
        <v>30</v>
      </c>
      <c r="CY18" s="10">
        <v>100</v>
      </c>
      <c r="CZ18" s="10">
        <v>44</v>
      </c>
      <c r="DA18" s="10"/>
      <c r="DB18" s="10"/>
      <c r="DC18" s="10">
        <v>39</v>
      </c>
      <c r="DD18" s="10">
        <v>0</v>
      </c>
      <c r="DE18" s="10">
        <v>0</v>
      </c>
      <c r="DF18" s="10">
        <v>4</v>
      </c>
      <c r="DG18" s="10">
        <v>279</v>
      </c>
      <c r="DH18" s="10">
        <v>15</v>
      </c>
      <c r="DI18" s="10">
        <v>148</v>
      </c>
      <c r="DJ18" s="10">
        <v>18</v>
      </c>
      <c r="DK18" s="10">
        <v>25</v>
      </c>
      <c r="DL18" s="10">
        <v>36</v>
      </c>
      <c r="DM18" s="10">
        <v>32</v>
      </c>
      <c r="DN18" s="10"/>
      <c r="DO18" s="10"/>
      <c r="DP18" s="10">
        <v>47</v>
      </c>
      <c r="DQ18" s="10">
        <v>2</v>
      </c>
      <c r="DR18" s="10">
        <v>59</v>
      </c>
      <c r="DS18" s="10">
        <v>6</v>
      </c>
      <c r="DT18" s="10">
        <v>402</v>
      </c>
      <c r="DU18" s="10">
        <v>39</v>
      </c>
      <c r="DV18" s="10">
        <v>331</v>
      </c>
      <c r="DW18" s="10">
        <v>35</v>
      </c>
      <c r="DX18" s="10">
        <v>66</v>
      </c>
      <c r="DY18" s="10">
        <v>89</v>
      </c>
      <c r="DZ18" s="10">
        <v>25</v>
      </c>
      <c r="EA18" s="10"/>
      <c r="EB18" s="10"/>
      <c r="EC18" s="10">
        <v>15</v>
      </c>
      <c r="ED18" s="10">
        <v>0</v>
      </c>
      <c r="EE18" s="10">
        <v>7</v>
      </c>
      <c r="EF18" s="10">
        <v>3</v>
      </c>
      <c r="EG18" s="10">
        <v>271</v>
      </c>
      <c r="EH18" s="10">
        <v>12</v>
      </c>
      <c r="EI18" s="10">
        <v>222</v>
      </c>
      <c r="EJ18" s="10">
        <v>34</v>
      </c>
      <c r="EK18" s="10">
        <v>34</v>
      </c>
      <c r="EL18" s="10">
        <v>55</v>
      </c>
      <c r="EM18" s="10">
        <v>43</v>
      </c>
      <c r="EN18" s="10"/>
      <c r="EO18" s="10"/>
      <c r="EP18" s="10">
        <v>15</v>
      </c>
      <c r="EQ18" s="10">
        <v>0</v>
      </c>
      <c r="ER18" s="10">
        <v>6</v>
      </c>
      <c r="ES18" s="10">
        <v>3</v>
      </c>
      <c r="ET18" s="10">
        <v>259</v>
      </c>
      <c r="EU18" s="10">
        <v>9</v>
      </c>
      <c r="EV18" s="10">
        <v>226</v>
      </c>
      <c r="EW18" s="10">
        <v>18</v>
      </c>
      <c r="EX18" s="10">
        <v>45</v>
      </c>
      <c r="EY18" s="10">
        <v>38</v>
      </c>
      <c r="EZ18" s="10">
        <v>29</v>
      </c>
      <c r="FA18" s="10"/>
      <c r="FB18" s="10"/>
      <c r="FC18" s="56">
        <v>420</v>
      </c>
      <c r="FD18" s="56">
        <v>8</v>
      </c>
      <c r="FE18" s="56">
        <v>575</v>
      </c>
      <c r="FF18" s="56">
        <v>40</v>
      </c>
      <c r="FG18" s="56">
        <v>4500</v>
      </c>
      <c r="FH18" s="56">
        <v>525</v>
      </c>
      <c r="FI18" s="56">
        <v>3700</v>
      </c>
      <c r="FJ18" s="56">
        <v>50</v>
      </c>
      <c r="FK18" s="56">
        <v>700</v>
      </c>
      <c r="FL18" s="56">
        <v>90</v>
      </c>
      <c r="FM18" s="56">
        <v>270</v>
      </c>
      <c r="FN18" s="56"/>
      <c r="FO18" s="56"/>
    </row>
    <row r="19" spans="1:171" x14ac:dyDescent="0.25">
      <c r="A19" s="25">
        <v>18</v>
      </c>
      <c r="B19" s="27" t="s">
        <v>9</v>
      </c>
      <c r="C19" s="10">
        <v>163</v>
      </c>
      <c r="D19" s="10">
        <v>199</v>
      </c>
      <c r="E19" s="10">
        <v>483</v>
      </c>
      <c r="F19" s="10">
        <v>196</v>
      </c>
      <c r="G19" s="10">
        <v>7.8</v>
      </c>
      <c r="H19" s="10">
        <v>21577</v>
      </c>
      <c r="I19" s="10">
        <v>44108</v>
      </c>
      <c r="J19" s="10">
        <v>25.9</v>
      </c>
      <c r="K19" s="10"/>
      <c r="L19" s="10"/>
      <c r="M19" s="10"/>
      <c r="N19" s="10"/>
      <c r="O19" s="10"/>
      <c r="P19" s="10">
        <v>191</v>
      </c>
      <c r="Q19" s="10">
        <v>220</v>
      </c>
      <c r="R19" s="10">
        <v>521</v>
      </c>
      <c r="S19" s="10">
        <v>217</v>
      </c>
      <c r="T19" s="16">
        <v>8.3000000000000007</v>
      </c>
      <c r="U19" s="10">
        <v>25741</v>
      </c>
      <c r="V19" s="10">
        <v>59431</v>
      </c>
      <c r="W19" s="10">
        <v>525</v>
      </c>
      <c r="X19" s="10"/>
      <c r="Y19" s="10"/>
      <c r="Z19" s="10"/>
      <c r="AA19" s="10"/>
      <c r="AB19" s="10"/>
      <c r="AC19" s="10">
        <v>148</v>
      </c>
      <c r="AD19" s="10">
        <v>163</v>
      </c>
      <c r="AE19" s="10">
        <v>416</v>
      </c>
      <c r="AF19" s="10">
        <v>103</v>
      </c>
      <c r="AG19" s="10">
        <v>8.1999999999999993</v>
      </c>
      <c r="AH19" s="10">
        <v>19336</v>
      </c>
      <c r="AI19" s="10">
        <v>37738</v>
      </c>
      <c r="AJ19" s="10">
        <v>22</v>
      </c>
      <c r="AK19" s="10"/>
      <c r="AL19" s="10"/>
      <c r="AM19" s="10"/>
      <c r="AN19" s="10"/>
      <c r="AO19" s="10"/>
      <c r="AP19" s="10">
        <v>164</v>
      </c>
      <c r="AQ19" s="10">
        <v>209</v>
      </c>
      <c r="AR19" s="10">
        <v>482</v>
      </c>
      <c r="AS19" s="10">
        <v>164</v>
      </c>
      <c r="AT19" s="10">
        <v>7.1</v>
      </c>
      <c r="AU19" s="10">
        <v>26370</v>
      </c>
      <c r="AV19" s="10">
        <v>36485</v>
      </c>
      <c r="AW19" s="10">
        <v>73</v>
      </c>
      <c r="AX19" s="10"/>
      <c r="AY19" s="10"/>
      <c r="AZ19" s="10"/>
      <c r="BA19" s="10"/>
      <c r="BB19" s="10"/>
      <c r="BC19" s="10">
        <v>124</v>
      </c>
      <c r="BD19" s="10">
        <v>175</v>
      </c>
      <c r="BE19" s="10">
        <v>412</v>
      </c>
      <c r="BF19" s="10">
        <v>144</v>
      </c>
      <c r="BG19" s="10">
        <v>6.5</v>
      </c>
      <c r="BH19" s="10">
        <v>18388</v>
      </c>
      <c r="BI19" s="10">
        <v>29983</v>
      </c>
      <c r="BJ19" s="10">
        <v>59</v>
      </c>
      <c r="BK19" s="10"/>
      <c r="BL19" s="10"/>
      <c r="BM19" s="10"/>
      <c r="BN19" s="10"/>
      <c r="BO19" s="10"/>
      <c r="BP19" s="10">
        <v>168</v>
      </c>
      <c r="BQ19" s="10">
        <v>198</v>
      </c>
      <c r="BR19" s="10">
        <v>436</v>
      </c>
      <c r="BS19" s="10">
        <v>85</v>
      </c>
      <c r="BT19" s="10">
        <v>9.3000000000000007</v>
      </c>
      <c r="BU19" s="10">
        <v>21322</v>
      </c>
      <c r="BV19" s="10">
        <v>42289</v>
      </c>
      <c r="BW19" s="10">
        <v>149</v>
      </c>
      <c r="BX19" s="10"/>
      <c r="BY19" s="10"/>
      <c r="BZ19" s="10"/>
      <c r="CA19" s="10"/>
      <c r="CB19" s="10"/>
      <c r="CC19" s="10">
        <v>134</v>
      </c>
      <c r="CD19" s="10">
        <v>145</v>
      </c>
      <c r="CE19" s="10">
        <v>584</v>
      </c>
      <c r="CF19" s="10">
        <v>155</v>
      </c>
      <c r="CG19" s="10">
        <v>6.4</v>
      </c>
      <c r="CH19" s="10">
        <v>20182</v>
      </c>
      <c r="CI19" s="10">
        <v>31910</v>
      </c>
      <c r="CJ19" s="10">
        <v>22</v>
      </c>
      <c r="CK19" s="10"/>
      <c r="CL19" s="10"/>
      <c r="CM19" s="10"/>
      <c r="CN19" s="10"/>
      <c r="CO19" s="10"/>
      <c r="CP19" s="10">
        <v>145</v>
      </c>
      <c r="CQ19" s="10">
        <v>212</v>
      </c>
      <c r="CR19" s="10">
        <v>547</v>
      </c>
      <c r="CS19" s="10">
        <v>183</v>
      </c>
      <c r="CT19" s="10">
        <v>7.3</v>
      </c>
      <c r="CU19" s="10">
        <v>21756</v>
      </c>
      <c r="CV19" s="10">
        <v>36488</v>
      </c>
      <c r="CW19" s="10">
        <v>21</v>
      </c>
      <c r="CX19" s="10"/>
      <c r="CY19" s="10"/>
      <c r="CZ19" s="10"/>
      <c r="DA19" s="10"/>
      <c r="DB19" s="10"/>
      <c r="DC19" s="10">
        <v>157</v>
      </c>
      <c r="DD19" s="10">
        <v>218</v>
      </c>
      <c r="DE19" s="10">
        <v>669</v>
      </c>
      <c r="DF19" s="10">
        <v>158</v>
      </c>
      <c r="DG19" s="10">
        <v>7.5</v>
      </c>
      <c r="DH19" s="10">
        <v>24754</v>
      </c>
      <c r="DI19" s="10">
        <v>35638</v>
      </c>
      <c r="DJ19" s="10">
        <v>138</v>
      </c>
      <c r="DK19" s="10"/>
      <c r="DL19" s="10"/>
      <c r="DM19" s="10"/>
      <c r="DN19" s="10"/>
      <c r="DO19" s="10"/>
      <c r="DP19" s="10">
        <v>178</v>
      </c>
      <c r="DQ19" s="10">
        <v>244</v>
      </c>
      <c r="DR19" s="10">
        <v>603</v>
      </c>
      <c r="DS19" s="10">
        <v>173</v>
      </c>
      <c r="DT19" s="10">
        <v>8.5</v>
      </c>
      <c r="DU19" s="10">
        <v>25773</v>
      </c>
      <c r="DV19" s="10">
        <v>53307</v>
      </c>
      <c r="DW19" s="10">
        <v>143</v>
      </c>
      <c r="DX19" s="10"/>
      <c r="DY19" s="10"/>
      <c r="DZ19" s="10"/>
      <c r="EA19" s="10"/>
      <c r="EB19" s="10"/>
      <c r="EC19" s="10">
        <v>207</v>
      </c>
      <c r="ED19" s="10">
        <v>230</v>
      </c>
      <c r="EE19" s="10">
        <v>624</v>
      </c>
      <c r="EF19" s="10">
        <v>150</v>
      </c>
      <c r="EG19" s="10">
        <v>9.4</v>
      </c>
      <c r="EH19" s="10">
        <v>26941</v>
      </c>
      <c r="EI19" s="10">
        <v>65421</v>
      </c>
      <c r="EJ19" s="10">
        <v>401</v>
      </c>
      <c r="EK19" s="10"/>
      <c r="EL19" s="10"/>
      <c r="EM19" s="10"/>
      <c r="EN19" s="10"/>
      <c r="EO19" s="10"/>
      <c r="EP19" s="10">
        <v>186</v>
      </c>
      <c r="EQ19" s="10">
        <v>202</v>
      </c>
      <c r="ER19" s="10">
        <v>492</v>
      </c>
      <c r="ES19" s="10">
        <v>152</v>
      </c>
      <c r="ET19" s="10">
        <v>9.3000000000000007</v>
      </c>
      <c r="EU19" s="10">
        <v>23753</v>
      </c>
      <c r="EV19" s="10">
        <v>66962</v>
      </c>
      <c r="EW19" s="10">
        <v>32</v>
      </c>
      <c r="EX19" s="10"/>
      <c r="EY19" s="10"/>
      <c r="EZ19" s="10"/>
      <c r="FA19" s="10"/>
      <c r="FB19" s="10"/>
      <c r="FC19" s="56">
        <v>1850</v>
      </c>
      <c r="FD19" s="56">
        <v>2050</v>
      </c>
      <c r="FE19" s="56">
        <v>5700</v>
      </c>
      <c r="FF19" s="56">
        <v>1600</v>
      </c>
      <c r="FG19" s="56">
        <v>7.7</v>
      </c>
      <c r="FH19" s="56">
        <v>248000</v>
      </c>
      <c r="FI19" s="56">
        <v>350000</v>
      </c>
      <c r="FJ19" s="56">
        <v>500</v>
      </c>
      <c r="FK19" s="56"/>
      <c r="FL19" s="56"/>
      <c r="FM19" s="56"/>
      <c r="FN19" s="56"/>
      <c r="FO19" s="56"/>
    </row>
    <row r="20" spans="1:171" ht="12" customHeight="1" x14ac:dyDescent="0.25">
      <c r="A20" s="25">
        <v>19</v>
      </c>
      <c r="B20" s="27" t="s">
        <v>61</v>
      </c>
      <c r="C20" s="10">
        <v>4</v>
      </c>
      <c r="D20" s="10">
        <v>20</v>
      </c>
      <c r="E20" s="10">
        <v>16</v>
      </c>
      <c r="F20" s="10">
        <v>32</v>
      </c>
      <c r="G20" s="10"/>
      <c r="H20" s="10"/>
      <c r="I20" s="10"/>
      <c r="J20" s="10"/>
      <c r="K20" s="10"/>
      <c r="L20" s="10"/>
      <c r="M20" s="10"/>
      <c r="N20" s="10"/>
      <c r="O20" s="10"/>
      <c r="P20" s="10">
        <v>4</v>
      </c>
      <c r="Q20" s="10">
        <v>3</v>
      </c>
      <c r="R20" s="10">
        <v>19</v>
      </c>
      <c r="S20" s="10">
        <v>41</v>
      </c>
      <c r="T20" s="16"/>
      <c r="U20" s="10"/>
      <c r="V20" s="10"/>
      <c r="W20" s="10"/>
      <c r="X20" s="10"/>
      <c r="Y20" s="10"/>
      <c r="Z20" s="10"/>
      <c r="AA20" s="10"/>
      <c r="AB20" s="10"/>
      <c r="AC20" s="10">
        <v>5</v>
      </c>
      <c r="AD20" s="10">
        <v>14</v>
      </c>
      <c r="AE20" s="10">
        <v>0</v>
      </c>
      <c r="AF20" s="10">
        <v>52</v>
      </c>
      <c r="AG20" s="10"/>
      <c r="AH20" s="10"/>
      <c r="AI20" s="10"/>
      <c r="AJ20" s="10"/>
      <c r="AK20" s="10"/>
      <c r="AL20" s="10"/>
      <c r="AM20" s="10"/>
      <c r="AN20" s="10"/>
      <c r="AO20" s="10"/>
      <c r="AP20" s="10">
        <v>6</v>
      </c>
      <c r="AQ20" s="10">
        <v>6</v>
      </c>
      <c r="AR20" s="10"/>
      <c r="AS20" s="10"/>
      <c r="AT20" s="10"/>
      <c r="AU20" s="10"/>
      <c r="AV20" s="10"/>
      <c r="AW20" s="10"/>
      <c r="AX20" s="10"/>
      <c r="AY20" s="10"/>
      <c r="AZ20" s="10"/>
      <c r="BA20" s="10"/>
      <c r="BB20" s="10"/>
      <c r="BC20" s="10">
        <v>12</v>
      </c>
      <c r="BD20" s="10">
        <v>12</v>
      </c>
      <c r="BE20" s="10"/>
      <c r="BF20" s="10"/>
      <c r="BG20" s="10"/>
      <c r="BH20" s="10"/>
      <c r="BI20" s="10"/>
      <c r="BJ20" s="10"/>
      <c r="BK20" s="10"/>
      <c r="BL20" s="10"/>
      <c r="BM20" s="10"/>
      <c r="BN20" s="10"/>
      <c r="BO20" s="10"/>
      <c r="BP20" s="10">
        <v>9</v>
      </c>
      <c r="BQ20" s="10">
        <v>9</v>
      </c>
      <c r="BR20" s="10"/>
      <c r="BS20" s="10"/>
      <c r="BT20" s="10"/>
      <c r="BU20" s="10"/>
      <c r="BV20" s="10"/>
      <c r="BW20" s="10"/>
      <c r="BX20" s="10"/>
      <c r="BY20" s="10"/>
      <c r="BZ20" s="10"/>
      <c r="CA20" s="10"/>
      <c r="CB20" s="10"/>
      <c r="CC20" s="10">
        <v>13</v>
      </c>
      <c r="CD20" s="10">
        <v>12</v>
      </c>
      <c r="CE20" s="10"/>
      <c r="CF20" s="10"/>
      <c r="CG20" s="10"/>
      <c r="CH20" s="10"/>
      <c r="CI20" s="10"/>
      <c r="CJ20" s="10"/>
      <c r="CK20" s="10"/>
      <c r="CL20" s="10"/>
      <c r="CM20" s="10"/>
      <c r="CN20" s="10"/>
      <c r="CO20" s="10"/>
      <c r="CP20" s="10">
        <v>8</v>
      </c>
      <c r="CQ20" s="10">
        <v>7</v>
      </c>
      <c r="CR20" s="10"/>
      <c r="CS20" s="10"/>
      <c r="CT20" s="10"/>
      <c r="CU20" s="10"/>
      <c r="CV20" s="10"/>
      <c r="CW20" s="10"/>
      <c r="CX20" s="10"/>
      <c r="CY20" s="10"/>
      <c r="CZ20" s="10"/>
      <c r="DA20" s="10"/>
      <c r="DB20" s="10"/>
      <c r="DC20" s="10">
        <v>8</v>
      </c>
      <c r="DD20" s="10">
        <v>8</v>
      </c>
      <c r="DE20" s="10"/>
      <c r="DF20" s="10"/>
      <c r="DG20" s="10"/>
      <c r="DH20" s="10"/>
      <c r="DI20" s="10"/>
      <c r="DJ20" s="10"/>
      <c r="DK20" s="10"/>
      <c r="DL20" s="10"/>
      <c r="DM20" s="10"/>
      <c r="DN20" s="10"/>
      <c r="DO20" s="10"/>
      <c r="DP20" s="10">
        <v>7</v>
      </c>
      <c r="DQ20" s="10">
        <v>6</v>
      </c>
      <c r="DR20" s="10"/>
      <c r="DS20" s="10"/>
      <c r="DT20" s="10"/>
      <c r="DU20" s="10"/>
      <c r="DV20" s="10"/>
      <c r="DW20" s="10"/>
      <c r="DX20" s="10"/>
      <c r="DY20" s="10"/>
      <c r="DZ20" s="10"/>
      <c r="EA20" s="10"/>
      <c r="EB20" s="10"/>
      <c r="EC20" s="10">
        <v>20</v>
      </c>
      <c r="ED20" s="10">
        <v>19</v>
      </c>
      <c r="EE20" s="10"/>
      <c r="EF20" s="10"/>
      <c r="EG20" s="10"/>
      <c r="EH20" s="10"/>
      <c r="EI20" s="10"/>
      <c r="EJ20" s="10"/>
      <c r="EK20" s="10"/>
      <c r="EL20" s="10"/>
      <c r="EM20" s="10"/>
      <c r="EN20" s="10"/>
      <c r="EO20" s="10"/>
      <c r="EP20" s="10">
        <v>5</v>
      </c>
      <c r="EQ20" s="10">
        <v>6</v>
      </c>
      <c r="ER20" s="10"/>
      <c r="ES20" s="10"/>
      <c r="ET20" s="10"/>
      <c r="EU20" s="10"/>
      <c r="EV20" s="10"/>
      <c r="EW20" s="10"/>
      <c r="EX20" s="10"/>
      <c r="EY20" s="10"/>
      <c r="EZ20" s="10"/>
      <c r="FA20" s="10"/>
      <c r="FB20" s="10"/>
      <c r="FC20" s="56">
        <v>75</v>
      </c>
      <c r="FD20" s="56">
        <v>150</v>
      </c>
      <c r="FE20" s="56">
        <v>75</v>
      </c>
      <c r="FF20" s="56">
        <v>500</v>
      </c>
      <c r="FG20" s="56"/>
      <c r="FH20" s="56"/>
      <c r="FI20" s="56"/>
      <c r="FJ20" s="56"/>
      <c r="FK20" s="56"/>
      <c r="FL20" s="56"/>
      <c r="FM20" s="56"/>
      <c r="FN20" s="56"/>
      <c r="FO20" s="56"/>
    </row>
    <row r="21" spans="1:171" x14ac:dyDescent="0.25">
      <c r="A21" s="25">
        <v>20</v>
      </c>
      <c r="B21" s="27" t="s">
        <v>233</v>
      </c>
      <c r="C21" s="10">
        <v>26358</v>
      </c>
      <c r="D21" s="10">
        <v>3591</v>
      </c>
      <c r="E21" s="10">
        <v>1511</v>
      </c>
      <c r="F21" s="10">
        <v>2.38</v>
      </c>
      <c r="G21" s="10">
        <v>0.13600000000000001</v>
      </c>
      <c r="H21" s="10">
        <v>36.36</v>
      </c>
      <c r="I21" s="10">
        <v>4.95</v>
      </c>
      <c r="J21" s="10"/>
      <c r="K21" s="10"/>
      <c r="L21" s="10"/>
      <c r="M21" s="10"/>
      <c r="N21" s="10"/>
      <c r="O21" s="10"/>
      <c r="P21" s="10">
        <v>29127</v>
      </c>
      <c r="Q21" s="10">
        <v>4249</v>
      </c>
      <c r="R21" s="10">
        <v>1725</v>
      </c>
      <c r="S21" s="10">
        <v>2.46</v>
      </c>
      <c r="T21" s="16">
        <v>0.14599999999999999</v>
      </c>
      <c r="U21" s="10">
        <v>17.579999999999998</v>
      </c>
      <c r="V21" s="10">
        <v>2.56</v>
      </c>
      <c r="W21" s="10"/>
      <c r="X21" s="10"/>
      <c r="Y21" s="10"/>
      <c r="Z21" s="10"/>
      <c r="AA21" s="10"/>
      <c r="AB21" s="10"/>
      <c r="AC21" s="10">
        <v>22487</v>
      </c>
      <c r="AD21" s="10">
        <v>3599</v>
      </c>
      <c r="AE21" s="10">
        <v>1351</v>
      </c>
      <c r="AF21" s="10">
        <v>2.66</v>
      </c>
      <c r="AG21" s="10">
        <v>0.16</v>
      </c>
      <c r="AH21" s="10">
        <v>18.55</v>
      </c>
      <c r="AI21" s="10">
        <v>2.97</v>
      </c>
      <c r="AJ21" s="10"/>
      <c r="AK21" s="10"/>
      <c r="AL21" s="10"/>
      <c r="AM21" s="10"/>
      <c r="AN21" s="10"/>
      <c r="AO21" s="10"/>
      <c r="AP21" s="10">
        <v>29915</v>
      </c>
      <c r="AQ21" s="10">
        <v>4915</v>
      </c>
      <c r="AR21" s="10">
        <v>1717</v>
      </c>
      <c r="AS21" s="10">
        <v>2.86</v>
      </c>
      <c r="AT21" s="10">
        <v>0.16</v>
      </c>
      <c r="AU21" s="10">
        <v>17.82</v>
      </c>
      <c r="AV21" s="10">
        <v>2.93</v>
      </c>
      <c r="AW21" s="10"/>
      <c r="AX21" s="10"/>
      <c r="AY21" s="10"/>
      <c r="AZ21" s="10"/>
      <c r="BA21" s="10"/>
      <c r="BB21" s="10"/>
      <c r="BC21" s="10">
        <v>25228</v>
      </c>
      <c r="BD21" s="10">
        <v>4341</v>
      </c>
      <c r="BE21" s="10">
        <v>1485.8</v>
      </c>
      <c r="BF21" s="10">
        <v>2.92</v>
      </c>
      <c r="BG21" s="10">
        <v>0.17199999999999999</v>
      </c>
      <c r="BH21" s="10">
        <v>24.61</v>
      </c>
      <c r="BI21" s="10">
        <v>4.2300000000000004</v>
      </c>
      <c r="BJ21" s="10"/>
      <c r="BK21" s="10"/>
      <c r="BL21" s="10"/>
      <c r="BM21" s="10"/>
      <c r="BN21" s="10"/>
      <c r="BO21" s="10"/>
      <c r="BP21" s="10">
        <v>21383</v>
      </c>
      <c r="BQ21" s="10">
        <v>3493</v>
      </c>
      <c r="BR21" s="10">
        <v>1291.8</v>
      </c>
      <c r="BS21" s="10">
        <v>2.7</v>
      </c>
      <c r="BT21" s="10">
        <v>0.16300000000000001</v>
      </c>
      <c r="BU21" s="10">
        <v>25.56</v>
      </c>
      <c r="BV21" s="10">
        <v>4.17</v>
      </c>
      <c r="BW21" s="10"/>
      <c r="BX21" s="10"/>
      <c r="BY21" s="10"/>
      <c r="BZ21" s="10"/>
      <c r="CA21" s="10"/>
      <c r="CB21" s="10"/>
      <c r="CC21" s="10">
        <v>27583</v>
      </c>
      <c r="CD21" s="10">
        <v>4583</v>
      </c>
      <c r="CE21" s="10">
        <v>1663</v>
      </c>
      <c r="CF21" s="10">
        <v>2.76</v>
      </c>
      <c r="CG21" s="10">
        <v>0.16500000000000001</v>
      </c>
      <c r="CH21" s="10">
        <v>16.61</v>
      </c>
      <c r="CI21" s="10">
        <v>2.73</v>
      </c>
      <c r="CJ21" s="10"/>
      <c r="CK21" s="10"/>
      <c r="CL21" s="10"/>
      <c r="CM21" s="10"/>
      <c r="CN21" s="10"/>
      <c r="CO21" s="10"/>
      <c r="CP21" s="10">
        <v>26035</v>
      </c>
      <c r="CQ21" s="10">
        <v>4250</v>
      </c>
      <c r="CR21" s="10">
        <v>1546</v>
      </c>
      <c r="CS21" s="10">
        <v>2.75</v>
      </c>
      <c r="CT21" s="10">
        <v>0.16</v>
      </c>
      <c r="CU21" s="10">
        <v>16.010000000000002</v>
      </c>
      <c r="CV21" s="10">
        <v>2.61</v>
      </c>
      <c r="CW21" s="10"/>
      <c r="CX21" s="10"/>
      <c r="CY21" s="10"/>
      <c r="CZ21" s="10"/>
      <c r="DA21" s="10"/>
      <c r="DB21" s="10"/>
      <c r="DC21" s="10">
        <v>25272</v>
      </c>
      <c r="DD21" s="10">
        <v>4188</v>
      </c>
      <c r="DE21" s="10">
        <v>1586</v>
      </c>
      <c r="DF21" s="10">
        <v>2.64</v>
      </c>
      <c r="DG21" s="10">
        <v>0.17</v>
      </c>
      <c r="DH21" s="10">
        <v>43.88</v>
      </c>
      <c r="DI21" s="18">
        <v>7.27</v>
      </c>
      <c r="DJ21" s="10"/>
      <c r="DK21" s="10"/>
      <c r="DL21" s="10"/>
      <c r="DM21" s="10"/>
      <c r="DN21" s="10"/>
      <c r="DO21" s="10"/>
      <c r="DP21" s="10">
        <v>26244</v>
      </c>
      <c r="DQ21" s="10">
        <v>4503</v>
      </c>
      <c r="DR21" s="10">
        <v>1609</v>
      </c>
      <c r="DS21" s="10">
        <v>2.8</v>
      </c>
      <c r="DT21" s="10">
        <v>0.17199999999999999</v>
      </c>
      <c r="DU21" s="10">
        <v>25.3</v>
      </c>
      <c r="DV21" s="10">
        <v>4.34</v>
      </c>
      <c r="DW21" s="10"/>
      <c r="DX21" s="10"/>
      <c r="DY21" s="10"/>
      <c r="DZ21" s="10"/>
      <c r="EA21" s="10"/>
      <c r="EB21" s="10"/>
      <c r="EC21" s="10">
        <v>27621</v>
      </c>
      <c r="ED21" s="10">
        <v>4297</v>
      </c>
      <c r="EE21" s="10">
        <v>1648</v>
      </c>
      <c r="EF21" s="10">
        <v>2.61</v>
      </c>
      <c r="EG21" s="10">
        <v>0.16</v>
      </c>
      <c r="EH21" s="10">
        <v>23.76</v>
      </c>
      <c r="EI21" s="10">
        <v>3.7</v>
      </c>
      <c r="EJ21" s="10"/>
      <c r="EK21" s="10"/>
      <c r="EL21" s="10"/>
      <c r="EM21" s="10"/>
      <c r="EN21" s="10"/>
      <c r="EO21" s="10"/>
      <c r="EP21" s="10">
        <v>25090</v>
      </c>
      <c r="EQ21" s="10">
        <v>3636</v>
      </c>
      <c r="ER21" s="10">
        <v>1484</v>
      </c>
      <c r="ES21" s="10">
        <v>2.4500000000000002</v>
      </c>
      <c r="ET21" s="10">
        <v>0.14499999999999999</v>
      </c>
      <c r="EU21" s="10">
        <v>19.79</v>
      </c>
      <c r="EV21" s="10">
        <v>2.86</v>
      </c>
      <c r="EW21" s="10"/>
      <c r="EX21" s="10"/>
      <c r="EY21" s="10"/>
      <c r="EZ21" s="10"/>
      <c r="FA21" s="10"/>
      <c r="FB21" s="10"/>
      <c r="FC21" s="56">
        <v>315500</v>
      </c>
      <c r="FD21" s="56">
        <v>48000</v>
      </c>
      <c r="FE21" s="56">
        <v>17500</v>
      </c>
      <c r="FF21" s="56">
        <v>2.6</v>
      </c>
      <c r="FG21" s="56">
        <v>0.15</v>
      </c>
      <c r="FH21" s="56">
        <v>20</v>
      </c>
      <c r="FI21" s="56">
        <v>3.1</v>
      </c>
      <c r="FJ21" s="56"/>
      <c r="FK21" s="56"/>
      <c r="FL21" s="56"/>
      <c r="FM21" s="56"/>
      <c r="FN21" s="56"/>
      <c r="FO21" s="56"/>
    </row>
    <row r="22" spans="1:171" x14ac:dyDescent="0.25">
      <c r="A22" s="25">
        <v>21</v>
      </c>
      <c r="B22" s="27" t="s">
        <v>10</v>
      </c>
      <c r="C22" s="10">
        <v>556</v>
      </c>
      <c r="D22" s="10">
        <v>20</v>
      </c>
      <c r="E22" s="10">
        <v>54</v>
      </c>
      <c r="F22" s="10">
        <v>5</v>
      </c>
      <c r="G22" s="10">
        <v>32.5</v>
      </c>
      <c r="H22" s="10">
        <v>652</v>
      </c>
      <c r="I22" s="10">
        <v>147</v>
      </c>
      <c r="J22" s="10">
        <v>77</v>
      </c>
      <c r="K22" s="10">
        <v>21</v>
      </c>
      <c r="L22" s="10">
        <v>17.899999999999999</v>
      </c>
      <c r="M22" s="10"/>
      <c r="N22" s="10"/>
      <c r="O22" s="10"/>
      <c r="P22" s="10">
        <v>592</v>
      </c>
      <c r="Q22" s="10">
        <v>13</v>
      </c>
      <c r="R22" s="10">
        <v>64</v>
      </c>
      <c r="S22" s="10">
        <v>2</v>
      </c>
      <c r="T22" s="16">
        <v>28.6</v>
      </c>
      <c r="U22" s="10">
        <v>652</v>
      </c>
      <c r="V22" s="10">
        <v>125</v>
      </c>
      <c r="W22" s="10">
        <v>111</v>
      </c>
      <c r="X22" s="10">
        <v>23</v>
      </c>
      <c r="Y22" s="10">
        <v>19.100000000000001</v>
      </c>
      <c r="Z22" s="10"/>
      <c r="AA22" s="10"/>
      <c r="AB22" s="10"/>
      <c r="AC22" s="10">
        <v>489</v>
      </c>
      <c r="AD22" s="10">
        <v>19</v>
      </c>
      <c r="AE22" s="10">
        <v>70</v>
      </c>
      <c r="AF22" s="10">
        <v>3</v>
      </c>
      <c r="AG22" s="10">
        <v>26.4</v>
      </c>
      <c r="AH22" s="10">
        <v>645</v>
      </c>
      <c r="AI22" s="10">
        <v>108</v>
      </c>
      <c r="AJ22" s="10">
        <v>78</v>
      </c>
      <c r="AK22" s="10">
        <v>18</v>
      </c>
      <c r="AL22" s="10">
        <v>16.3</v>
      </c>
      <c r="AM22" s="10"/>
      <c r="AN22" s="10"/>
      <c r="AO22" s="10"/>
      <c r="AP22" s="10">
        <v>541</v>
      </c>
      <c r="AQ22" s="10">
        <v>28</v>
      </c>
      <c r="AR22" s="10">
        <v>68</v>
      </c>
      <c r="AS22" s="10">
        <v>2</v>
      </c>
      <c r="AT22" s="10">
        <v>27.4</v>
      </c>
      <c r="AU22" s="10">
        <v>645</v>
      </c>
      <c r="AV22" s="10">
        <v>103</v>
      </c>
      <c r="AW22" s="10">
        <v>105</v>
      </c>
      <c r="AX22" s="10">
        <v>23</v>
      </c>
      <c r="AY22" s="10">
        <v>17.5</v>
      </c>
      <c r="AZ22" s="10"/>
      <c r="BA22" s="10"/>
      <c r="BB22" s="10"/>
      <c r="BC22" s="10">
        <v>480</v>
      </c>
      <c r="BD22" s="10">
        <v>21</v>
      </c>
      <c r="BE22" s="10">
        <v>55</v>
      </c>
      <c r="BF22" s="10">
        <v>0</v>
      </c>
      <c r="BG22" s="10">
        <v>26.5</v>
      </c>
      <c r="BH22" s="10">
        <v>383</v>
      </c>
      <c r="BI22" s="10">
        <v>167</v>
      </c>
      <c r="BJ22" s="10">
        <v>110</v>
      </c>
      <c r="BK22" s="10">
        <v>19</v>
      </c>
      <c r="BL22" s="10">
        <v>16</v>
      </c>
      <c r="BM22" s="10"/>
      <c r="BN22" s="10"/>
      <c r="BO22" s="10"/>
      <c r="BP22" s="10">
        <v>578</v>
      </c>
      <c r="BQ22" s="10">
        <v>16</v>
      </c>
      <c r="BR22" s="10">
        <v>42</v>
      </c>
      <c r="BS22" s="10">
        <v>0</v>
      </c>
      <c r="BT22" s="10">
        <v>28</v>
      </c>
      <c r="BU22" s="10">
        <v>438</v>
      </c>
      <c r="BV22" s="10">
        <v>126</v>
      </c>
      <c r="BW22" s="10">
        <v>125</v>
      </c>
      <c r="BX22" s="10">
        <v>18</v>
      </c>
      <c r="BY22" s="10">
        <v>18.600000000000001</v>
      </c>
      <c r="BZ22" s="10"/>
      <c r="CA22" s="10"/>
      <c r="CB22" s="10"/>
      <c r="CC22" s="10">
        <v>468</v>
      </c>
      <c r="CD22" s="10">
        <v>16</v>
      </c>
      <c r="CE22" s="10">
        <v>40</v>
      </c>
      <c r="CF22" s="10">
        <v>17</v>
      </c>
      <c r="CG22" s="10">
        <v>27.2</v>
      </c>
      <c r="CH22" s="10">
        <v>342</v>
      </c>
      <c r="CI22" s="10">
        <v>113</v>
      </c>
      <c r="CJ22" s="10">
        <v>160</v>
      </c>
      <c r="CK22" s="10">
        <v>21</v>
      </c>
      <c r="CL22" s="10">
        <v>15.1</v>
      </c>
      <c r="CM22" s="10"/>
      <c r="CN22" s="10"/>
      <c r="CO22" s="10"/>
      <c r="CP22" s="10">
        <v>449</v>
      </c>
      <c r="CQ22" s="10">
        <v>11</v>
      </c>
      <c r="CR22" s="10">
        <v>35</v>
      </c>
      <c r="CS22" s="10">
        <v>17</v>
      </c>
      <c r="CT22" s="10">
        <v>25.8</v>
      </c>
      <c r="CU22" s="10">
        <v>321</v>
      </c>
      <c r="CV22" s="10">
        <v>123</v>
      </c>
      <c r="CW22" s="10">
        <v>209</v>
      </c>
      <c r="CX22" s="10">
        <v>20</v>
      </c>
      <c r="CY22" s="10">
        <v>16</v>
      </c>
      <c r="CZ22" s="10"/>
      <c r="DA22" s="10"/>
      <c r="DB22" s="10"/>
      <c r="DC22" s="10">
        <v>557</v>
      </c>
      <c r="DD22" s="10">
        <v>19</v>
      </c>
      <c r="DE22" s="10">
        <v>39</v>
      </c>
      <c r="DF22" s="10">
        <v>14</v>
      </c>
      <c r="DG22" s="10">
        <v>24.3</v>
      </c>
      <c r="DH22" s="10">
        <v>305</v>
      </c>
      <c r="DI22" s="10">
        <v>182</v>
      </c>
      <c r="DJ22" s="10">
        <v>179</v>
      </c>
      <c r="DK22" s="10">
        <v>21</v>
      </c>
      <c r="DL22" s="10">
        <v>17.899999999999999</v>
      </c>
      <c r="DM22" s="10"/>
      <c r="DN22" s="10"/>
      <c r="DO22" s="10"/>
      <c r="DP22" s="10">
        <v>567</v>
      </c>
      <c r="DQ22" s="10">
        <v>11</v>
      </c>
      <c r="DR22" s="10">
        <v>26</v>
      </c>
      <c r="DS22" s="10">
        <v>17</v>
      </c>
      <c r="DT22" s="10">
        <v>23.8</v>
      </c>
      <c r="DU22" s="10">
        <v>298</v>
      </c>
      <c r="DV22" s="10">
        <v>119</v>
      </c>
      <c r="DW22" s="10">
        <v>114</v>
      </c>
      <c r="DX22" s="10">
        <v>21</v>
      </c>
      <c r="DY22" s="10">
        <v>18.899999999999999</v>
      </c>
      <c r="DZ22" s="10"/>
      <c r="EA22" s="10"/>
      <c r="EB22" s="10"/>
      <c r="EC22" s="10">
        <v>614</v>
      </c>
      <c r="ED22" s="10">
        <v>15</v>
      </c>
      <c r="EE22" s="10">
        <v>23</v>
      </c>
      <c r="EF22" s="10">
        <v>13</v>
      </c>
      <c r="EG22" s="10">
        <v>23.1</v>
      </c>
      <c r="EH22" s="10">
        <v>320</v>
      </c>
      <c r="EI22" s="10">
        <v>111</v>
      </c>
      <c r="EJ22" s="10">
        <v>104</v>
      </c>
      <c r="EK22" s="10">
        <v>22</v>
      </c>
      <c r="EL22" s="10">
        <v>19.8</v>
      </c>
      <c r="EM22" s="10"/>
      <c r="EN22" s="10"/>
      <c r="EO22" s="10"/>
      <c r="EP22" s="10">
        <v>603</v>
      </c>
      <c r="EQ22" s="10">
        <v>21</v>
      </c>
      <c r="ER22" s="10">
        <v>58</v>
      </c>
      <c r="ES22" s="10">
        <v>11</v>
      </c>
      <c r="ET22" s="10">
        <v>21.2</v>
      </c>
      <c r="EU22" s="10">
        <v>329</v>
      </c>
      <c r="EV22" s="10">
        <v>65</v>
      </c>
      <c r="EW22" s="10">
        <v>70</v>
      </c>
      <c r="EX22" s="10">
        <v>20</v>
      </c>
      <c r="EY22" s="10">
        <v>20.100000000000001</v>
      </c>
      <c r="EZ22" s="10"/>
      <c r="FA22" s="10"/>
      <c r="FB22" s="10"/>
      <c r="FC22" s="56">
        <v>6540</v>
      </c>
      <c r="FD22" s="56">
        <v>175</v>
      </c>
      <c r="FE22" s="56">
        <v>725</v>
      </c>
      <c r="FF22" s="56">
        <v>70</v>
      </c>
      <c r="FG22" s="56">
        <v>60</v>
      </c>
      <c r="FH22" s="56">
        <v>7380</v>
      </c>
      <c r="FI22" s="56">
        <v>2475</v>
      </c>
      <c r="FJ22" s="56">
        <v>875</v>
      </c>
      <c r="FK22" s="56">
        <v>20</v>
      </c>
      <c r="FL22" s="56">
        <v>18</v>
      </c>
      <c r="FM22" s="56"/>
      <c r="FN22" s="56"/>
      <c r="FO22" s="56"/>
    </row>
    <row r="23" spans="1:171" x14ac:dyDescent="0.25">
      <c r="A23" s="25">
        <v>22</v>
      </c>
      <c r="B23" s="27" t="s">
        <v>229</v>
      </c>
      <c r="C23" s="10">
        <v>133</v>
      </c>
      <c r="D23" s="10">
        <v>120</v>
      </c>
      <c r="E23" s="10">
        <v>82</v>
      </c>
      <c r="F23" s="10">
        <v>970</v>
      </c>
      <c r="G23" s="10">
        <v>106</v>
      </c>
      <c r="H23" s="10">
        <v>4.45</v>
      </c>
      <c r="I23" s="10">
        <v>1543</v>
      </c>
      <c r="J23" s="10">
        <v>73</v>
      </c>
      <c r="K23" s="10">
        <v>19.239999999999998</v>
      </c>
      <c r="L23" s="10"/>
      <c r="M23" s="10"/>
      <c r="N23" s="10"/>
      <c r="O23" s="10"/>
      <c r="P23" s="10">
        <v>258</v>
      </c>
      <c r="Q23" s="10">
        <v>106</v>
      </c>
      <c r="R23" s="10">
        <v>81</v>
      </c>
      <c r="S23" s="10">
        <v>1137</v>
      </c>
      <c r="T23" s="16">
        <v>104</v>
      </c>
      <c r="U23" s="10">
        <v>4.45</v>
      </c>
      <c r="V23" s="10">
        <v>1845</v>
      </c>
      <c r="W23" s="10">
        <v>80</v>
      </c>
      <c r="X23" s="10">
        <v>17.559999999999999</v>
      </c>
      <c r="Y23" s="10"/>
      <c r="Z23" s="10"/>
      <c r="AA23" s="10"/>
      <c r="AB23" s="10"/>
      <c r="AC23" s="10">
        <v>233</v>
      </c>
      <c r="AD23" s="10">
        <v>106</v>
      </c>
      <c r="AE23" s="10">
        <v>55</v>
      </c>
      <c r="AF23" s="10">
        <v>580</v>
      </c>
      <c r="AG23" s="10">
        <v>52</v>
      </c>
      <c r="AH23" s="10">
        <v>4.45</v>
      </c>
      <c r="AI23" s="10">
        <v>1647</v>
      </c>
      <c r="AJ23" s="10">
        <v>92</v>
      </c>
      <c r="AK23" s="10">
        <v>15.27</v>
      </c>
      <c r="AL23" s="10"/>
      <c r="AM23" s="10"/>
      <c r="AN23" s="10"/>
      <c r="AO23" s="10"/>
      <c r="AP23" s="10">
        <v>234</v>
      </c>
      <c r="AQ23" s="10">
        <v>103</v>
      </c>
      <c r="AR23" s="10">
        <v>102</v>
      </c>
      <c r="AS23" s="10">
        <v>1265</v>
      </c>
      <c r="AT23" s="10">
        <v>81</v>
      </c>
      <c r="AU23" s="10">
        <v>4.45</v>
      </c>
      <c r="AV23" s="10">
        <v>2041</v>
      </c>
      <c r="AW23" s="10">
        <v>89</v>
      </c>
      <c r="AX23" s="10">
        <v>15.78</v>
      </c>
      <c r="AY23" s="10">
        <v>224</v>
      </c>
      <c r="AZ23" s="10">
        <v>19</v>
      </c>
      <c r="BA23" s="10">
        <v>17.809999999999999</v>
      </c>
      <c r="BB23" s="10"/>
      <c r="BC23" s="10">
        <v>228</v>
      </c>
      <c r="BD23" s="10">
        <v>101</v>
      </c>
      <c r="BE23" s="10">
        <v>385</v>
      </c>
      <c r="BF23" s="10">
        <v>579</v>
      </c>
      <c r="BG23" s="10">
        <v>55</v>
      </c>
      <c r="BH23" s="10">
        <v>4.45</v>
      </c>
      <c r="BI23" s="10">
        <v>1714</v>
      </c>
      <c r="BJ23" s="10">
        <v>90</v>
      </c>
      <c r="BK23" s="10">
        <v>17.25</v>
      </c>
      <c r="BL23" s="10">
        <v>468</v>
      </c>
      <c r="BM23" s="10">
        <v>25</v>
      </c>
      <c r="BN23" s="10">
        <v>7.96</v>
      </c>
      <c r="BP23" s="10">
        <v>235</v>
      </c>
      <c r="BQ23" s="10">
        <v>100</v>
      </c>
      <c r="BR23" s="10">
        <v>46</v>
      </c>
      <c r="BS23" s="10">
        <v>496</v>
      </c>
      <c r="BT23" s="10">
        <v>52</v>
      </c>
      <c r="BU23" s="10">
        <v>4.45</v>
      </c>
      <c r="BV23" s="10">
        <v>1521</v>
      </c>
      <c r="BW23" s="10">
        <v>85</v>
      </c>
      <c r="BX23" s="10">
        <v>19.28</v>
      </c>
      <c r="BY23" s="10">
        <v>305</v>
      </c>
      <c r="BZ23" s="10">
        <v>17</v>
      </c>
      <c r="CA23" s="10">
        <v>11.98</v>
      </c>
      <c r="CB23" s="10"/>
      <c r="CC23" s="10">
        <v>222</v>
      </c>
      <c r="CD23" s="10">
        <v>106</v>
      </c>
      <c r="CE23" s="10">
        <v>77</v>
      </c>
      <c r="CF23" s="10">
        <v>590</v>
      </c>
      <c r="CG23" s="10">
        <v>55</v>
      </c>
      <c r="CH23" s="10">
        <v>4.45</v>
      </c>
      <c r="CI23" s="10">
        <v>2014</v>
      </c>
      <c r="CJ23" s="10">
        <v>96</v>
      </c>
      <c r="CK23" s="10">
        <v>17.07</v>
      </c>
      <c r="CL23" s="10">
        <v>564</v>
      </c>
      <c r="CM23" s="10">
        <v>27</v>
      </c>
      <c r="CN23" s="10">
        <v>7.41</v>
      </c>
      <c r="CO23" s="10"/>
      <c r="CP23" s="10">
        <v>225</v>
      </c>
      <c r="CQ23" s="10">
        <v>111</v>
      </c>
      <c r="CR23" s="10">
        <v>75</v>
      </c>
      <c r="CS23" s="10">
        <v>508</v>
      </c>
      <c r="CT23" s="10">
        <v>44</v>
      </c>
      <c r="CU23" s="10">
        <v>4.45</v>
      </c>
      <c r="CV23" s="10">
        <v>2419</v>
      </c>
      <c r="CW23" s="10">
        <v>121</v>
      </c>
      <c r="CX23" s="10">
        <v>12.19</v>
      </c>
      <c r="CY23" s="10">
        <v>473</v>
      </c>
      <c r="CZ23" s="10">
        <v>24</v>
      </c>
      <c r="DA23" s="10">
        <v>8.33</v>
      </c>
      <c r="DB23" s="10"/>
      <c r="DC23" s="10">
        <v>235</v>
      </c>
      <c r="DD23" s="10">
        <v>112</v>
      </c>
      <c r="DE23" s="10">
        <v>84</v>
      </c>
      <c r="DF23" s="10">
        <v>473</v>
      </c>
      <c r="DG23" s="10">
        <v>46</v>
      </c>
      <c r="DH23" s="10">
        <v>4.45</v>
      </c>
      <c r="DI23" s="10">
        <v>2402</v>
      </c>
      <c r="DJ23" s="10">
        <v>114</v>
      </c>
      <c r="DK23" s="10">
        <v>12.32</v>
      </c>
      <c r="DL23" s="10">
        <v>510</v>
      </c>
      <c r="DM23" s="10">
        <v>24</v>
      </c>
      <c r="DN23" s="10">
        <v>7.25</v>
      </c>
      <c r="DO23" s="10"/>
      <c r="DP23" s="10">
        <v>260</v>
      </c>
      <c r="DQ23" s="10">
        <v>90</v>
      </c>
      <c r="DR23" s="10">
        <v>83</v>
      </c>
      <c r="DS23" s="10">
        <v>534</v>
      </c>
      <c r="DT23" s="10">
        <v>48</v>
      </c>
      <c r="DU23" s="10">
        <v>4.45</v>
      </c>
      <c r="DV23" s="10">
        <v>2132</v>
      </c>
      <c r="DW23" s="10">
        <v>102</v>
      </c>
      <c r="DX23" s="10">
        <v>13.77</v>
      </c>
      <c r="DY23" s="10">
        <v>411</v>
      </c>
      <c r="DZ23" s="10">
        <v>20</v>
      </c>
      <c r="EA23" s="10">
        <v>8.6999999999999993</v>
      </c>
      <c r="EB23" s="10"/>
      <c r="EC23" s="10">
        <v>246</v>
      </c>
      <c r="ED23" s="10">
        <v>103</v>
      </c>
      <c r="EE23" s="10">
        <v>94</v>
      </c>
      <c r="EF23" s="10">
        <v>498</v>
      </c>
      <c r="EG23" s="10">
        <v>50</v>
      </c>
      <c r="EH23" s="10">
        <v>4.45</v>
      </c>
      <c r="EI23" s="10">
        <v>2012</v>
      </c>
      <c r="EJ23" s="10">
        <v>91</v>
      </c>
      <c r="EK23" s="10">
        <v>14.73</v>
      </c>
      <c r="EL23" s="10">
        <v>634</v>
      </c>
      <c r="EM23" s="10">
        <v>29</v>
      </c>
      <c r="EN23" s="10">
        <v>5.73</v>
      </c>
      <c r="EO23" s="10"/>
      <c r="EP23" s="10">
        <v>257</v>
      </c>
      <c r="EQ23" s="10">
        <v>105</v>
      </c>
      <c r="ER23" s="10">
        <v>108</v>
      </c>
      <c r="ES23" s="10">
        <v>526</v>
      </c>
      <c r="ET23" s="10">
        <v>52</v>
      </c>
      <c r="EU23" s="10">
        <v>4.45</v>
      </c>
      <c r="EV23" s="10">
        <v>1645</v>
      </c>
      <c r="EW23" s="10">
        <v>82</v>
      </c>
      <c r="EX23" s="10">
        <v>17.989999999999998</v>
      </c>
      <c r="EY23" s="10">
        <v>485</v>
      </c>
      <c r="EZ23" s="10">
        <v>24</v>
      </c>
      <c r="FA23" s="10">
        <v>6.92</v>
      </c>
      <c r="FB23" s="10"/>
      <c r="FC23" s="56">
        <v>3550</v>
      </c>
      <c r="FD23" s="56">
        <v>1400</v>
      </c>
      <c r="FE23" s="56">
        <v>1050</v>
      </c>
      <c r="FF23" s="56">
        <v>9100</v>
      </c>
      <c r="FG23" s="56"/>
      <c r="FH23" s="56">
        <v>4.45</v>
      </c>
      <c r="FI23" s="56">
        <v>22600</v>
      </c>
      <c r="FJ23" s="56">
        <v>94</v>
      </c>
      <c r="FK23" s="56">
        <v>14.25</v>
      </c>
      <c r="FL23" s="56">
        <v>4500</v>
      </c>
      <c r="FM23" s="56">
        <v>25</v>
      </c>
      <c r="FN23" s="56">
        <v>10</v>
      </c>
      <c r="FO23" s="56"/>
    </row>
    <row r="24" spans="1:171" x14ac:dyDescent="0.25">
      <c r="A24" s="25">
        <v>23</v>
      </c>
      <c r="B24" s="27" t="s">
        <v>11</v>
      </c>
      <c r="C24" s="10">
        <v>35</v>
      </c>
      <c r="D24" s="10">
        <v>70.69</v>
      </c>
      <c r="E24" s="10">
        <v>12</v>
      </c>
      <c r="F24" s="10">
        <v>0</v>
      </c>
      <c r="G24" s="10">
        <v>3036</v>
      </c>
      <c r="H24" s="10">
        <v>145</v>
      </c>
      <c r="I24" s="10">
        <v>100</v>
      </c>
      <c r="J24" s="10">
        <v>95.87</v>
      </c>
      <c r="K24" s="10">
        <v>95</v>
      </c>
      <c r="L24" s="10">
        <v>95</v>
      </c>
      <c r="M24" s="10">
        <v>165</v>
      </c>
      <c r="N24" s="10"/>
      <c r="O24" s="10"/>
      <c r="P24" s="10">
        <v>50</v>
      </c>
      <c r="Q24" s="10">
        <v>73.27</v>
      </c>
      <c r="R24" s="10">
        <v>5</v>
      </c>
      <c r="S24" s="10">
        <v>50</v>
      </c>
      <c r="T24" s="16">
        <v>2772</v>
      </c>
      <c r="U24" s="10">
        <v>121</v>
      </c>
      <c r="V24" s="10">
        <v>100</v>
      </c>
      <c r="W24" s="10">
        <v>92.12</v>
      </c>
      <c r="X24" s="10">
        <v>99</v>
      </c>
      <c r="Y24" s="10">
        <v>100</v>
      </c>
      <c r="Z24" s="10">
        <v>168</v>
      </c>
      <c r="AA24" s="10" t="s">
        <v>499</v>
      </c>
      <c r="AB24" s="10"/>
      <c r="AC24" s="10">
        <v>38</v>
      </c>
      <c r="AD24" s="10">
        <v>73.010000000000005</v>
      </c>
      <c r="AE24" s="10">
        <v>0</v>
      </c>
      <c r="AF24" s="10">
        <v>40</v>
      </c>
      <c r="AG24" s="10">
        <v>2191</v>
      </c>
      <c r="AH24" s="10">
        <v>122</v>
      </c>
      <c r="AI24" s="10">
        <v>100</v>
      </c>
      <c r="AJ24" s="10">
        <v>97.3</v>
      </c>
      <c r="AK24" s="10">
        <v>99</v>
      </c>
      <c r="AL24" s="10">
        <v>100</v>
      </c>
      <c r="AM24" s="10">
        <v>176</v>
      </c>
      <c r="AN24" s="10"/>
      <c r="AO24" s="10"/>
      <c r="AP24" s="10">
        <v>63</v>
      </c>
      <c r="AQ24" s="10">
        <v>72.11</v>
      </c>
      <c r="AR24" s="10">
        <v>20</v>
      </c>
      <c r="AS24" s="10">
        <v>25</v>
      </c>
      <c r="AT24" s="10">
        <v>2606</v>
      </c>
      <c r="AU24" s="10">
        <v>113</v>
      </c>
      <c r="AV24" s="10">
        <v>100</v>
      </c>
      <c r="AW24" s="10">
        <v>94.79</v>
      </c>
      <c r="AX24" s="10">
        <v>96</v>
      </c>
      <c r="AY24" s="10">
        <v>98</v>
      </c>
      <c r="AZ24" s="10">
        <v>169</v>
      </c>
      <c r="BA24" s="10"/>
      <c r="BB24" s="10"/>
      <c r="BC24" s="10">
        <v>38</v>
      </c>
      <c r="BD24" s="10">
        <v>72.37</v>
      </c>
      <c r="BE24" s="10">
        <v>0</v>
      </c>
      <c r="BF24" s="10">
        <v>40</v>
      </c>
      <c r="BG24" s="10">
        <v>2451</v>
      </c>
      <c r="BH24" s="10">
        <v>129</v>
      </c>
      <c r="BI24" s="10">
        <v>100</v>
      </c>
      <c r="BJ24" s="10">
        <v>94.5</v>
      </c>
      <c r="BK24" s="10">
        <v>96</v>
      </c>
      <c r="BL24" s="10">
        <v>98</v>
      </c>
      <c r="BM24" s="10">
        <v>181</v>
      </c>
      <c r="BP24" s="10">
        <v>41</v>
      </c>
      <c r="BQ24" s="10">
        <v>72.39</v>
      </c>
      <c r="BR24" s="10">
        <v>0</v>
      </c>
      <c r="BS24" s="10">
        <v>0</v>
      </c>
      <c r="BT24" s="10">
        <v>2458</v>
      </c>
      <c r="BU24" s="10">
        <v>137</v>
      </c>
      <c r="BV24" s="10">
        <v>100</v>
      </c>
      <c r="BW24" s="10">
        <v>95.13</v>
      </c>
      <c r="BX24" s="10">
        <v>98</v>
      </c>
      <c r="BY24" s="10">
        <v>96</v>
      </c>
      <c r="BZ24" s="10">
        <v>152</v>
      </c>
      <c r="CA24" s="10"/>
      <c r="CB24" s="10"/>
      <c r="CC24" s="10">
        <v>47</v>
      </c>
      <c r="CD24" s="10">
        <v>72.25</v>
      </c>
      <c r="CE24" s="10">
        <v>25</v>
      </c>
      <c r="CF24" s="10">
        <v>0</v>
      </c>
      <c r="CG24" s="10">
        <v>3871</v>
      </c>
      <c r="CH24" s="10">
        <v>184</v>
      </c>
      <c r="CI24" s="10">
        <v>100</v>
      </c>
      <c r="CJ24" s="10">
        <v>92.8</v>
      </c>
      <c r="CK24" s="10">
        <v>96</v>
      </c>
      <c r="CL24" s="10">
        <v>100</v>
      </c>
      <c r="CM24" s="10">
        <v>143</v>
      </c>
      <c r="CN24" s="10"/>
      <c r="CO24" s="10"/>
      <c r="CP24" s="10">
        <v>40</v>
      </c>
      <c r="CQ24" s="10">
        <v>72.150000000000006</v>
      </c>
      <c r="CR24" s="10">
        <v>25</v>
      </c>
      <c r="CS24" s="10">
        <v>0</v>
      </c>
      <c r="CT24" s="10">
        <v>2429</v>
      </c>
      <c r="CU24" s="10">
        <v>121</v>
      </c>
      <c r="CV24" s="10">
        <v>100</v>
      </c>
      <c r="CW24" s="10">
        <v>94.52</v>
      </c>
      <c r="CX24" s="10">
        <v>95</v>
      </c>
      <c r="CY24" s="10">
        <v>100</v>
      </c>
      <c r="CZ24" s="10">
        <v>159</v>
      </c>
      <c r="DA24" s="10"/>
      <c r="DB24" s="10"/>
      <c r="DC24" s="10">
        <v>50</v>
      </c>
      <c r="DD24" s="10">
        <v>72.06</v>
      </c>
      <c r="DE24" s="10">
        <v>6</v>
      </c>
      <c r="DF24" s="10">
        <v>0</v>
      </c>
      <c r="DG24" s="10">
        <v>2749</v>
      </c>
      <c r="DH24" s="10">
        <v>131</v>
      </c>
      <c r="DI24" s="10">
        <v>100</v>
      </c>
      <c r="DJ24" s="10">
        <v>97.04</v>
      </c>
      <c r="DK24" s="10">
        <v>97</v>
      </c>
      <c r="DL24" s="10">
        <v>100</v>
      </c>
      <c r="DM24" s="10">
        <v>184</v>
      </c>
      <c r="DN24" s="10"/>
      <c r="DO24" s="10"/>
      <c r="DP24" s="10">
        <v>48</v>
      </c>
      <c r="DQ24" s="10">
        <v>71.95</v>
      </c>
      <c r="DR24" s="10">
        <v>22</v>
      </c>
      <c r="DS24" s="10">
        <v>0</v>
      </c>
      <c r="DT24" s="10">
        <v>2757</v>
      </c>
      <c r="DU24" s="10">
        <v>131</v>
      </c>
      <c r="DV24" s="10">
        <v>100</v>
      </c>
      <c r="DW24" s="10">
        <v>94.9</v>
      </c>
      <c r="DX24" s="10">
        <v>98</v>
      </c>
      <c r="DY24" s="10">
        <v>100</v>
      </c>
      <c r="DZ24" s="10">
        <v>165</v>
      </c>
      <c r="EA24" s="10"/>
      <c r="EB24" s="10"/>
      <c r="EC24" s="10">
        <v>63</v>
      </c>
      <c r="ED24" s="10">
        <v>72.02</v>
      </c>
      <c r="EE24" s="10">
        <v>0</v>
      </c>
      <c r="EF24" s="10">
        <v>25</v>
      </c>
      <c r="EG24" s="10">
        <v>3018</v>
      </c>
      <c r="EH24" s="10">
        <v>137</v>
      </c>
      <c r="EI24" s="10">
        <v>100</v>
      </c>
      <c r="EJ24" s="10">
        <v>95.45</v>
      </c>
      <c r="EK24" s="10">
        <v>97</v>
      </c>
      <c r="EL24" s="10">
        <v>100</v>
      </c>
      <c r="EM24" s="10">
        <v>153</v>
      </c>
      <c r="EN24" s="10"/>
      <c r="EO24" s="10"/>
      <c r="EP24" s="10">
        <v>39</v>
      </c>
      <c r="EQ24" s="10">
        <v>72.040000000000006</v>
      </c>
      <c r="ER24" s="10">
        <v>0</v>
      </c>
      <c r="ES24" s="10">
        <v>25</v>
      </c>
      <c r="ET24" s="10">
        <v>2703</v>
      </c>
      <c r="EU24" s="10">
        <v>135</v>
      </c>
      <c r="EV24" s="10">
        <v>100</v>
      </c>
      <c r="EW24" s="10">
        <v>92.33</v>
      </c>
      <c r="EX24" s="10">
        <v>97</v>
      </c>
      <c r="EY24" s="10">
        <v>98</v>
      </c>
      <c r="EZ24" s="10">
        <v>132</v>
      </c>
      <c r="FA24" s="10"/>
      <c r="FB24" s="10"/>
      <c r="FC24" s="56">
        <v>500</v>
      </c>
      <c r="FD24" s="56">
        <v>70.5</v>
      </c>
      <c r="FE24" s="56">
        <v>5</v>
      </c>
      <c r="FF24" s="56">
        <v>35</v>
      </c>
      <c r="FG24" s="56">
        <v>42000</v>
      </c>
      <c r="FH24" s="56">
        <v>177</v>
      </c>
      <c r="FI24" s="56">
        <v>97</v>
      </c>
      <c r="FJ24" s="56">
        <v>95</v>
      </c>
      <c r="FK24" s="56">
        <v>95</v>
      </c>
      <c r="FL24" s="56">
        <v>95</v>
      </c>
      <c r="FM24" s="56">
        <v>150</v>
      </c>
      <c r="FN24" s="56"/>
      <c r="FO24" s="56"/>
    </row>
    <row r="25" spans="1:171" x14ac:dyDescent="0.25">
      <c r="A25" s="25">
        <v>24</v>
      </c>
      <c r="B25" s="27" t="s">
        <v>12</v>
      </c>
      <c r="C25" s="10">
        <v>0</v>
      </c>
      <c r="D25" s="10">
        <v>27</v>
      </c>
      <c r="E25" s="10">
        <v>0</v>
      </c>
      <c r="F25" s="10">
        <v>84.7</v>
      </c>
      <c r="G25" s="10">
        <v>0.09</v>
      </c>
      <c r="H25" s="10">
        <v>0</v>
      </c>
      <c r="I25" s="10">
        <v>5</v>
      </c>
      <c r="J25" s="10"/>
      <c r="K25" s="10"/>
      <c r="L25" s="10"/>
      <c r="M25" s="10"/>
      <c r="N25" s="10"/>
      <c r="O25" s="10"/>
      <c r="P25" s="10">
        <v>0</v>
      </c>
      <c r="Q25" s="10">
        <v>49</v>
      </c>
      <c r="R25" s="10">
        <v>0</v>
      </c>
      <c r="S25" s="10">
        <v>84.7</v>
      </c>
      <c r="T25" s="16">
        <v>0.18099999999999999</v>
      </c>
      <c r="U25" s="10">
        <v>0</v>
      </c>
      <c r="V25" s="10">
        <v>6</v>
      </c>
      <c r="W25" s="10"/>
      <c r="X25" s="10"/>
      <c r="Y25" s="10"/>
      <c r="Z25" s="10"/>
      <c r="AA25" s="10"/>
      <c r="AB25" s="10"/>
      <c r="AC25" s="10">
        <v>0</v>
      </c>
      <c r="AD25" s="10">
        <v>33</v>
      </c>
      <c r="AE25" s="10">
        <v>0</v>
      </c>
      <c r="AF25" s="10">
        <v>84.7</v>
      </c>
      <c r="AG25" s="10">
        <v>0.66</v>
      </c>
      <c r="AH25" s="10">
        <v>0</v>
      </c>
      <c r="AI25" s="10">
        <v>11</v>
      </c>
      <c r="AJ25" s="10"/>
      <c r="AK25" s="10"/>
      <c r="AL25" s="10"/>
      <c r="AM25" s="10"/>
      <c r="AN25" s="10"/>
      <c r="AO25" s="10"/>
      <c r="AP25" s="10">
        <v>0</v>
      </c>
      <c r="AQ25" s="10">
        <v>39</v>
      </c>
      <c r="AR25" s="10">
        <v>0</v>
      </c>
      <c r="AS25" s="10">
        <v>84.7</v>
      </c>
      <c r="AT25" s="10">
        <v>1.38</v>
      </c>
      <c r="AU25" s="10">
        <v>0</v>
      </c>
      <c r="AV25" s="10">
        <v>11</v>
      </c>
      <c r="AW25" s="10"/>
      <c r="AX25" s="10"/>
      <c r="AY25" s="10"/>
      <c r="AZ25" s="10"/>
      <c r="BA25" s="10"/>
      <c r="BB25" s="10"/>
      <c r="BC25" s="10">
        <v>0</v>
      </c>
      <c r="BD25" s="10">
        <v>30</v>
      </c>
      <c r="BE25" s="10">
        <v>0</v>
      </c>
      <c r="BF25" s="10">
        <v>84.7</v>
      </c>
      <c r="BG25" s="10">
        <v>0.28999999999999998</v>
      </c>
      <c r="BH25" s="10">
        <v>0</v>
      </c>
      <c r="BI25" s="10">
        <v>8</v>
      </c>
      <c r="BJ25" s="10"/>
      <c r="BK25" s="10"/>
      <c r="BL25" s="10"/>
      <c r="BM25" s="10"/>
      <c r="BN25" s="10"/>
      <c r="BO25" s="10"/>
      <c r="BP25" s="10">
        <v>0</v>
      </c>
      <c r="BQ25" s="10">
        <v>31</v>
      </c>
      <c r="BR25" s="10">
        <v>0</v>
      </c>
      <c r="BS25" s="10">
        <v>82.3</v>
      </c>
      <c r="BT25" s="38">
        <v>0.59</v>
      </c>
      <c r="BU25" s="10">
        <v>0</v>
      </c>
      <c r="BV25" s="10">
        <v>8</v>
      </c>
      <c r="BW25" s="10"/>
      <c r="BX25" s="10"/>
      <c r="BY25" s="10"/>
      <c r="BZ25" s="10"/>
      <c r="CA25" s="10"/>
      <c r="CB25" s="10"/>
      <c r="CC25" s="10">
        <v>0</v>
      </c>
      <c r="CD25" s="10">
        <v>30</v>
      </c>
      <c r="CE25" s="10">
        <v>0</v>
      </c>
      <c r="CF25" s="10">
        <v>82.8</v>
      </c>
      <c r="CG25" s="10">
        <v>1.0860000000000001</v>
      </c>
      <c r="CH25" s="10">
        <v>0</v>
      </c>
      <c r="CI25" s="10">
        <v>15</v>
      </c>
      <c r="CJ25" s="10"/>
      <c r="CK25" s="10"/>
      <c r="CL25" s="10"/>
      <c r="CM25" s="10"/>
      <c r="CN25" s="10"/>
      <c r="CO25" s="10"/>
      <c r="CP25" s="10">
        <v>0</v>
      </c>
      <c r="CQ25" s="10">
        <v>46</v>
      </c>
      <c r="CR25" s="10">
        <v>0</v>
      </c>
      <c r="CS25" s="10">
        <v>82.8</v>
      </c>
      <c r="CT25" s="10">
        <v>1.68</v>
      </c>
      <c r="CU25" s="10">
        <v>0</v>
      </c>
      <c r="CV25" s="10">
        <v>24</v>
      </c>
      <c r="CW25" s="10"/>
      <c r="CX25" s="10"/>
      <c r="CY25" s="10"/>
      <c r="CZ25" s="10"/>
      <c r="DA25" s="10"/>
      <c r="DB25" s="10"/>
      <c r="DC25" s="10">
        <v>0</v>
      </c>
      <c r="DD25" s="10">
        <v>24</v>
      </c>
      <c r="DE25" s="10">
        <v>0</v>
      </c>
      <c r="DF25" s="10">
        <v>87.7</v>
      </c>
      <c r="DG25" s="10">
        <v>0</v>
      </c>
      <c r="DH25" s="10">
        <v>0</v>
      </c>
      <c r="DI25" s="10">
        <v>24</v>
      </c>
      <c r="DJ25" s="10"/>
      <c r="DK25" s="10"/>
      <c r="DL25" s="10"/>
      <c r="DM25" s="10"/>
      <c r="DN25" s="10"/>
      <c r="DO25" s="10"/>
      <c r="DP25" s="10">
        <v>0</v>
      </c>
      <c r="DQ25" s="10">
        <v>43</v>
      </c>
      <c r="DR25" s="10">
        <v>0</v>
      </c>
      <c r="DS25" s="10">
        <v>87.7</v>
      </c>
      <c r="DT25" s="10">
        <v>0.35</v>
      </c>
      <c r="DU25" s="10">
        <v>0</v>
      </c>
      <c r="DV25" s="10">
        <v>6</v>
      </c>
      <c r="DW25" s="10"/>
      <c r="DX25" s="10"/>
      <c r="DY25" s="10"/>
      <c r="DZ25" s="10"/>
      <c r="EA25" s="10"/>
      <c r="EB25" s="10"/>
      <c r="EC25" s="10">
        <v>0</v>
      </c>
      <c r="ED25" s="10">
        <v>28</v>
      </c>
      <c r="EE25" s="10">
        <v>0</v>
      </c>
      <c r="EF25" s="38">
        <v>87.7</v>
      </c>
      <c r="EG25" s="38">
        <v>0.43</v>
      </c>
      <c r="EH25" s="10">
        <v>0</v>
      </c>
      <c r="EI25" s="10">
        <v>5</v>
      </c>
      <c r="EJ25" s="10"/>
      <c r="EK25" s="10"/>
      <c r="EL25" s="10"/>
      <c r="EM25" s="10"/>
      <c r="EN25" s="10"/>
      <c r="EO25" s="10"/>
      <c r="EP25" s="10">
        <v>0</v>
      </c>
      <c r="EQ25" s="10">
        <v>31</v>
      </c>
      <c r="ER25" s="10">
        <v>0</v>
      </c>
      <c r="ES25" s="10">
        <v>87.7</v>
      </c>
      <c r="ET25" s="10">
        <v>2.87</v>
      </c>
      <c r="EU25" s="10">
        <v>0</v>
      </c>
      <c r="EV25" s="10">
        <v>10</v>
      </c>
      <c r="EW25" s="10"/>
      <c r="EX25" s="10"/>
      <c r="EY25" s="10"/>
      <c r="EZ25" s="10"/>
      <c r="FA25" s="10"/>
      <c r="FB25" s="10"/>
      <c r="FC25" s="56">
        <v>5</v>
      </c>
      <c r="FD25" s="56">
        <v>500</v>
      </c>
      <c r="FE25" s="56">
        <v>5</v>
      </c>
      <c r="FF25" s="56">
        <v>94</v>
      </c>
      <c r="FG25" s="56">
        <v>5</v>
      </c>
      <c r="FH25" s="56">
        <v>1</v>
      </c>
      <c r="FI25" s="56">
        <v>85</v>
      </c>
      <c r="FJ25" s="56"/>
      <c r="FK25" s="56"/>
      <c r="FL25" s="56"/>
      <c r="FM25" s="56"/>
      <c r="FN25" s="56"/>
      <c r="FO25" s="56"/>
    </row>
    <row r="26" spans="1:171" x14ac:dyDescent="0.25">
      <c r="A26" s="25">
        <v>25</v>
      </c>
      <c r="B26" s="27" t="s">
        <v>13</v>
      </c>
      <c r="C26" s="10">
        <v>493</v>
      </c>
      <c r="D26" s="10">
        <v>15</v>
      </c>
      <c r="E26" s="10">
        <v>0.76</v>
      </c>
      <c r="F26" s="10">
        <v>0.77</v>
      </c>
      <c r="G26" s="10">
        <v>2200</v>
      </c>
      <c r="H26" s="10">
        <v>1037</v>
      </c>
      <c r="I26" s="10">
        <v>0</v>
      </c>
      <c r="J26" s="10">
        <v>10</v>
      </c>
      <c r="K26" s="10"/>
      <c r="L26" s="10"/>
      <c r="M26" s="10"/>
      <c r="N26" s="10"/>
      <c r="O26" s="10"/>
      <c r="P26" s="10">
        <v>351</v>
      </c>
      <c r="Q26" s="10">
        <v>2</v>
      </c>
      <c r="R26" s="10">
        <v>58.38</v>
      </c>
      <c r="S26" s="10">
        <v>58.28</v>
      </c>
      <c r="T26" s="16">
        <v>2200</v>
      </c>
      <c r="U26" s="10">
        <v>598</v>
      </c>
      <c r="V26" s="10">
        <v>0</v>
      </c>
      <c r="W26" s="10">
        <v>2</v>
      </c>
      <c r="X26" s="10"/>
      <c r="Y26" s="10"/>
      <c r="Z26" s="10"/>
      <c r="AA26" s="10"/>
      <c r="AB26" s="10"/>
      <c r="AC26" s="10">
        <v>265</v>
      </c>
      <c r="AD26" s="10">
        <v>0</v>
      </c>
      <c r="AE26" s="10">
        <v>62.77</v>
      </c>
      <c r="AF26" s="10">
        <v>60.39</v>
      </c>
      <c r="AG26" s="10">
        <v>2200</v>
      </c>
      <c r="AH26" s="10">
        <v>349</v>
      </c>
      <c r="AI26" s="10">
        <v>0</v>
      </c>
      <c r="AJ26" s="10">
        <v>85</v>
      </c>
      <c r="AK26" s="10"/>
      <c r="AL26" s="10"/>
      <c r="AM26" s="10"/>
      <c r="AN26" s="10"/>
      <c r="AO26" s="10"/>
      <c r="AP26" s="10">
        <v>337</v>
      </c>
      <c r="AQ26" s="10">
        <v>1566</v>
      </c>
      <c r="AR26" s="10">
        <v>65.17</v>
      </c>
      <c r="AS26" s="10">
        <v>62.82</v>
      </c>
      <c r="AT26" s="10">
        <v>45471</v>
      </c>
      <c r="AU26" s="10">
        <v>444</v>
      </c>
      <c r="AV26" s="10">
        <v>0</v>
      </c>
      <c r="AW26" s="10">
        <v>36</v>
      </c>
      <c r="AX26" s="10"/>
      <c r="AY26" s="10"/>
      <c r="AZ26" s="10"/>
      <c r="BA26" s="10"/>
      <c r="BB26" s="10"/>
      <c r="BC26" s="10">
        <v>348</v>
      </c>
      <c r="BD26" s="10">
        <v>175</v>
      </c>
      <c r="BE26" s="10">
        <v>68.290000000000006</v>
      </c>
      <c r="BF26" s="10">
        <v>65.930000000000007</v>
      </c>
      <c r="BG26" s="10">
        <v>2200</v>
      </c>
      <c r="BH26" s="10">
        <v>1717</v>
      </c>
      <c r="BI26" s="10">
        <v>0</v>
      </c>
      <c r="BJ26" s="10">
        <v>8</v>
      </c>
      <c r="BK26" s="10"/>
      <c r="BL26" s="10"/>
      <c r="BM26" s="10"/>
      <c r="BN26" s="10"/>
      <c r="BO26" s="10"/>
      <c r="BP26" s="10">
        <v>306</v>
      </c>
      <c r="BQ26" s="10">
        <v>13</v>
      </c>
      <c r="BR26" s="10">
        <v>81.98</v>
      </c>
      <c r="BS26" s="10">
        <v>80.09</v>
      </c>
      <c r="BT26" s="10">
        <v>49519</v>
      </c>
      <c r="BU26" s="10">
        <v>0</v>
      </c>
      <c r="BV26" s="10">
        <v>0</v>
      </c>
      <c r="BW26" s="10">
        <v>29</v>
      </c>
      <c r="BX26" s="10"/>
      <c r="BY26" s="10"/>
      <c r="BZ26" s="10"/>
      <c r="CA26" s="10"/>
      <c r="CB26" s="10"/>
      <c r="CC26" s="10">
        <v>268</v>
      </c>
      <c r="CD26" s="10">
        <v>95</v>
      </c>
      <c r="CE26" s="10">
        <v>92.64</v>
      </c>
      <c r="CF26" s="10">
        <v>92.77</v>
      </c>
      <c r="CG26" s="10">
        <v>2200</v>
      </c>
      <c r="CH26" s="10">
        <v>901</v>
      </c>
      <c r="CI26" s="10">
        <v>0</v>
      </c>
      <c r="CJ26" s="10">
        <v>31</v>
      </c>
      <c r="CK26" s="10"/>
      <c r="CL26" s="10"/>
      <c r="CM26" s="10"/>
      <c r="CN26" s="10"/>
      <c r="CO26" s="10"/>
      <c r="CP26" s="10">
        <v>605</v>
      </c>
      <c r="CQ26" s="10">
        <v>759</v>
      </c>
      <c r="CR26" s="10">
        <v>95.03</v>
      </c>
      <c r="CS26" s="10">
        <v>95.09</v>
      </c>
      <c r="CT26" s="10">
        <v>41992</v>
      </c>
      <c r="CU26" s="10">
        <v>668</v>
      </c>
      <c r="CV26" s="10">
        <v>0</v>
      </c>
      <c r="CW26" s="10">
        <v>54</v>
      </c>
      <c r="CX26" s="10"/>
      <c r="CY26" s="10"/>
      <c r="CZ26" s="10"/>
      <c r="DA26" s="10"/>
      <c r="DB26" s="10"/>
      <c r="DC26" s="10">
        <v>1246</v>
      </c>
      <c r="DD26" s="10">
        <v>818</v>
      </c>
      <c r="DE26" s="10">
        <v>96.2</v>
      </c>
      <c r="DF26" s="10">
        <v>96.24</v>
      </c>
      <c r="DG26" s="10">
        <v>16938</v>
      </c>
      <c r="DH26" s="10">
        <v>9820</v>
      </c>
      <c r="DI26" s="10">
        <v>0</v>
      </c>
      <c r="DJ26" s="10">
        <v>29</v>
      </c>
      <c r="DK26" s="10"/>
      <c r="DL26" s="10"/>
      <c r="DM26" s="10"/>
      <c r="DN26" s="10"/>
      <c r="DO26" s="10"/>
      <c r="DP26" s="10">
        <v>979</v>
      </c>
      <c r="DQ26" s="10">
        <v>409</v>
      </c>
      <c r="DR26" s="10">
        <v>96.79</v>
      </c>
      <c r="DS26" s="10">
        <v>96.82</v>
      </c>
      <c r="DT26" s="10">
        <v>34228</v>
      </c>
      <c r="DU26" s="10">
        <v>3451</v>
      </c>
      <c r="DV26" s="10">
        <v>0</v>
      </c>
      <c r="DW26" s="10">
        <v>0</v>
      </c>
      <c r="DX26" s="10"/>
      <c r="DY26" s="10"/>
      <c r="DZ26" s="10"/>
      <c r="EA26" s="10"/>
      <c r="EB26" s="10"/>
      <c r="EC26" s="10">
        <v>770</v>
      </c>
      <c r="ED26" s="10">
        <v>403</v>
      </c>
      <c r="EE26" s="10">
        <v>97.19</v>
      </c>
      <c r="EF26" s="10">
        <v>97.22</v>
      </c>
      <c r="EG26" s="10">
        <v>15664</v>
      </c>
      <c r="EH26" s="10">
        <v>2795</v>
      </c>
      <c r="EI26" s="10">
        <v>7304</v>
      </c>
      <c r="EJ26" s="10">
        <v>1</v>
      </c>
      <c r="EK26" s="10"/>
      <c r="EL26" s="10"/>
      <c r="EM26" s="10"/>
      <c r="EN26" s="10"/>
      <c r="EO26" s="10"/>
      <c r="EP26" s="10">
        <v>556</v>
      </c>
      <c r="EQ26" s="10">
        <v>352</v>
      </c>
      <c r="ER26" s="10">
        <v>97.47</v>
      </c>
      <c r="ES26" s="10">
        <v>97.49</v>
      </c>
      <c r="ET26" s="10">
        <v>220</v>
      </c>
      <c r="EU26" s="10">
        <v>1919</v>
      </c>
      <c r="EV26" s="10">
        <v>10185</v>
      </c>
      <c r="EW26" s="10">
        <v>56</v>
      </c>
      <c r="EX26" s="10"/>
      <c r="EY26" s="10"/>
      <c r="EZ26" s="10"/>
      <c r="FA26" s="10"/>
      <c r="FB26" s="10"/>
      <c r="FC26" s="56">
        <v>7500</v>
      </c>
      <c r="FD26" s="56">
        <v>4000</v>
      </c>
      <c r="FE26" s="56">
        <v>97.22</v>
      </c>
      <c r="FF26" s="56">
        <v>97.28</v>
      </c>
      <c r="FG26" s="56">
        <v>75000</v>
      </c>
      <c r="FH26" s="56">
        <v>60000</v>
      </c>
      <c r="FI26" s="56">
        <v>0</v>
      </c>
      <c r="FJ26" s="56">
        <v>500</v>
      </c>
      <c r="FK26" s="56"/>
      <c r="FL26" s="56"/>
      <c r="FM26" s="56"/>
      <c r="FN26" s="56"/>
      <c r="FO26" s="56"/>
    </row>
    <row r="27" spans="1:171" x14ac:dyDescent="0.25">
      <c r="A27" s="25">
        <v>26</v>
      </c>
      <c r="B27" s="27" t="s">
        <v>187</v>
      </c>
      <c r="C27" s="10">
        <v>204</v>
      </c>
      <c r="D27" s="10">
        <v>102</v>
      </c>
      <c r="E27" s="10">
        <v>306</v>
      </c>
      <c r="F27" s="10">
        <v>14.6</v>
      </c>
      <c r="G27" s="10">
        <v>0</v>
      </c>
      <c r="H27" s="10">
        <v>25</v>
      </c>
      <c r="I27" s="10">
        <v>1.2</v>
      </c>
      <c r="J27" s="10"/>
      <c r="K27" s="10"/>
      <c r="L27" s="10"/>
      <c r="M27" s="10"/>
      <c r="N27" s="10"/>
      <c r="O27" s="10"/>
      <c r="P27" s="10">
        <v>167</v>
      </c>
      <c r="Q27" s="10">
        <v>81</v>
      </c>
      <c r="R27" s="10">
        <v>248</v>
      </c>
      <c r="S27" s="10">
        <v>10.8</v>
      </c>
      <c r="T27" s="16">
        <v>0</v>
      </c>
      <c r="U27" s="10">
        <v>23</v>
      </c>
      <c r="V27" s="10">
        <v>1</v>
      </c>
      <c r="W27" s="10"/>
      <c r="X27" s="10"/>
      <c r="Y27" s="10"/>
      <c r="Z27" s="10"/>
      <c r="AA27" s="10"/>
      <c r="AB27" s="10"/>
      <c r="AC27" s="10">
        <v>200</v>
      </c>
      <c r="AD27" s="10">
        <v>88</v>
      </c>
      <c r="AE27" s="10">
        <v>288</v>
      </c>
      <c r="AF27" s="10">
        <v>16</v>
      </c>
      <c r="AG27" s="10">
        <v>0</v>
      </c>
      <c r="AH27" s="10">
        <v>32</v>
      </c>
      <c r="AI27" s="10">
        <v>1.8</v>
      </c>
      <c r="AJ27" s="10"/>
      <c r="AK27" s="10"/>
      <c r="AL27" s="10"/>
      <c r="AM27" s="10"/>
      <c r="AN27" s="10"/>
      <c r="AO27" s="10"/>
      <c r="AP27" s="10">
        <v>235</v>
      </c>
      <c r="AQ27" s="10">
        <v>108</v>
      </c>
      <c r="AR27" s="10">
        <v>343</v>
      </c>
      <c r="AS27" s="10">
        <v>14.9</v>
      </c>
      <c r="AT27" s="15">
        <v>0</v>
      </c>
      <c r="AU27" s="10">
        <v>29</v>
      </c>
      <c r="AV27" s="10">
        <v>1.3</v>
      </c>
      <c r="AW27" s="10"/>
      <c r="AX27" s="10"/>
      <c r="AY27" s="10"/>
      <c r="AZ27" s="10"/>
      <c r="BA27" s="10"/>
      <c r="BB27" s="10"/>
      <c r="BC27" s="10">
        <v>189</v>
      </c>
      <c r="BD27" s="10">
        <v>85</v>
      </c>
      <c r="BE27" s="10">
        <v>274</v>
      </c>
      <c r="BF27" s="10">
        <v>14.4</v>
      </c>
      <c r="BG27" s="10">
        <v>0</v>
      </c>
      <c r="BH27" s="10">
        <v>31</v>
      </c>
      <c r="BI27" s="10">
        <v>1.6</v>
      </c>
      <c r="BJ27" s="10"/>
      <c r="BK27" s="10"/>
      <c r="BL27" s="10"/>
      <c r="BM27" s="10"/>
      <c r="BN27" s="10"/>
      <c r="BO27" s="10"/>
      <c r="BP27" s="10">
        <v>166</v>
      </c>
      <c r="BQ27" s="10">
        <v>74</v>
      </c>
      <c r="BR27" s="10">
        <v>240</v>
      </c>
      <c r="BS27" s="10">
        <v>13.3</v>
      </c>
      <c r="BT27" s="10">
        <v>0</v>
      </c>
      <c r="BU27" s="10">
        <v>25</v>
      </c>
      <c r="BV27" s="10">
        <v>1.4</v>
      </c>
      <c r="BW27" s="10"/>
      <c r="BX27" s="10"/>
      <c r="BY27" s="10"/>
      <c r="BZ27" s="10"/>
      <c r="CA27" s="10"/>
      <c r="CB27" s="10"/>
      <c r="CC27" s="10">
        <v>229</v>
      </c>
      <c r="CD27" s="10">
        <v>106</v>
      </c>
      <c r="CE27" s="10">
        <v>335</v>
      </c>
      <c r="CF27" s="51">
        <v>16</v>
      </c>
      <c r="CG27" s="10">
        <v>0</v>
      </c>
      <c r="CH27" s="10">
        <v>38</v>
      </c>
      <c r="CI27" s="10">
        <v>1.8</v>
      </c>
      <c r="CJ27" s="10"/>
      <c r="CK27" s="10"/>
      <c r="CL27" s="10"/>
      <c r="CM27" s="10"/>
      <c r="CN27" s="10"/>
      <c r="CO27" s="10"/>
      <c r="CP27" s="10">
        <v>215</v>
      </c>
      <c r="CQ27" s="10">
        <v>98</v>
      </c>
      <c r="CR27" s="10">
        <v>313</v>
      </c>
      <c r="CS27" s="10">
        <v>15.7</v>
      </c>
      <c r="CT27" s="10">
        <v>0</v>
      </c>
      <c r="CU27" s="10">
        <v>31</v>
      </c>
      <c r="CV27" s="10">
        <v>1.6</v>
      </c>
      <c r="CW27" s="10"/>
      <c r="CX27" s="10"/>
      <c r="CY27" s="10"/>
      <c r="CZ27" s="10"/>
      <c r="DA27" s="10"/>
      <c r="DB27" s="10"/>
      <c r="DC27" s="10">
        <v>244</v>
      </c>
      <c r="DD27" s="10">
        <v>111</v>
      </c>
      <c r="DE27" s="10">
        <v>355</v>
      </c>
      <c r="DF27" s="10">
        <v>16.899999999999999</v>
      </c>
      <c r="DG27" s="10">
        <v>0</v>
      </c>
      <c r="DH27" s="10">
        <v>37</v>
      </c>
      <c r="DI27" s="10">
        <v>1.8</v>
      </c>
      <c r="DJ27" s="10"/>
      <c r="DK27" s="10"/>
      <c r="DL27" s="10"/>
      <c r="DM27" s="10"/>
      <c r="DN27" s="10"/>
      <c r="DO27" s="10"/>
      <c r="DP27" s="10">
        <v>170</v>
      </c>
      <c r="DQ27" s="10">
        <v>81</v>
      </c>
      <c r="DR27" s="10">
        <v>251</v>
      </c>
      <c r="DS27" s="10">
        <v>11.9</v>
      </c>
      <c r="DT27" s="10"/>
      <c r="DU27" s="10">
        <v>21</v>
      </c>
      <c r="DV27" s="10">
        <v>1.1000000000000001</v>
      </c>
      <c r="DW27" s="10"/>
      <c r="DX27" s="10"/>
      <c r="DY27" s="10"/>
      <c r="DZ27" s="10"/>
      <c r="EA27" s="10"/>
      <c r="EB27" s="10"/>
      <c r="EC27" s="10">
        <v>238</v>
      </c>
      <c r="ED27" s="10">
        <v>121</v>
      </c>
      <c r="EE27" s="10">
        <v>359</v>
      </c>
      <c r="EF27" s="10">
        <v>16.3</v>
      </c>
      <c r="EG27" s="10"/>
      <c r="EH27" s="10">
        <v>31</v>
      </c>
      <c r="EI27" s="10">
        <v>1.4</v>
      </c>
      <c r="EJ27" s="10"/>
      <c r="EK27" s="10"/>
      <c r="EL27" s="10"/>
      <c r="EM27" s="10"/>
      <c r="EN27" s="10"/>
      <c r="EO27" s="10"/>
      <c r="EP27" s="10">
        <v>172</v>
      </c>
      <c r="EQ27" s="10">
        <v>84</v>
      </c>
      <c r="ER27" s="10">
        <v>256</v>
      </c>
      <c r="ES27" s="10">
        <v>12.8</v>
      </c>
      <c r="ET27" s="10"/>
      <c r="EU27" s="10">
        <v>28</v>
      </c>
      <c r="EV27" s="10">
        <v>1.4</v>
      </c>
      <c r="EW27" s="10"/>
      <c r="EX27" s="10"/>
      <c r="EY27" s="10"/>
      <c r="EZ27" s="10"/>
      <c r="FA27" s="10"/>
      <c r="FB27" s="10"/>
      <c r="FC27" s="56">
        <v>2550</v>
      </c>
      <c r="FD27" s="56">
        <v>1215</v>
      </c>
      <c r="FE27" s="56">
        <v>3765</v>
      </c>
      <c r="FF27" s="56">
        <v>15.5</v>
      </c>
      <c r="FG27" s="56">
        <v>3</v>
      </c>
      <c r="FH27" s="56">
        <v>360</v>
      </c>
      <c r="FI27" s="56">
        <v>1.6</v>
      </c>
      <c r="FJ27" s="56"/>
      <c r="FK27" s="56"/>
      <c r="FL27" s="56"/>
      <c r="FM27" s="56"/>
      <c r="FN27" s="56"/>
      <c r="FO27" s="56"/>
    </row>
    <row r="28" spans="1:171" x14ac:dyDescent="0.25">
      <c r="A28" s="25">
        <v>27</v>
      </c>
      <c r="B28" s="27" t="s">
        <v>504</v>
      </c>
      <c r="C28" s="10">
        <v>611</v>
      </c>
      <c r="D28" s="10">
        <v>344</v>
      </c>
      <c r="E28" s="10">
        <v>267</v>
      </c>
      <c r="F28" s="10">
        <v>80</v>
      </c>
      <c r="G28" s="10">
        <v>2.58</v>
      </c>
      <c r="H28" s="10">
        <v>40</v>
      </c>
      <c r="I28" s="10">
        <v>1.29</v>
      </c>
      <c r="J28" s="10">
        <v>8</v>
      </c>
      <c r="K28" s="10">
        <v>4</v>
      </c>
      <c r="L28" s="10">
        <v>264</v>
      </c>
      <c r="M28" s="10">
        <v>8.5</v>
      </c>
      <c r="N28" s="10">
        <v>227</v>
      </c>
      <c r="O28" s="10">
        <v>7.3</v>
      </c>
      <c r="P28" s="10">
        <v>674</v>
      </c>
      <c r="Q28" s="10">
        <v>392</v>
      </c>
      <c r="R28" s="10">
        <v>282</v>
      </c>
      <c r="S28" s="10">
        <v>118</v>
      </c>
      <c r="T28" s="16">
        <v>3.81</v>
      </c>
      <c r="U28" s="10">
        <v>67</v>
      </c>
      <c r="V28" s="10">
        <v>2.16</v>
      </c>
      <c r="W28" s="10">
        <v>8</v>
      </c>
      <c r="X28" s="10">
        <v>4</v>
      </c>
      <c r="Y28" s="10">
        <v>274</v>
      </c>
      <c r="Z28" s="10">
        <v>8.8000000000000007</v>
      </c>
      <c r="AA28" s="10">
        <v>215</v>
      </c>
      <c r="AB28" s="10">
        <v>6.9</v>
      </c>
      <c r="AC28" s="10">
        <v>774</v>
      </c>
      <c r="AD28" s="10">
        <v>471</v>
      </c>
      <c r="AE28" s="10">
        <v>302</v>
      </c>
      <c r="AF28" s="10">
        <v>197</v>
      </c>
      <c r="AG28" s="10">
        <v>6.6</v>
      </c>
      <c r="AH28" s="10">
        <v>94</v>
      </c>
      <c r="AI28" s="10">
        <v>3.1</v>
      </c>
      <c r="AJ28" s="10">
        <v>8</v>
      </c>
      <c r="AK28" s="10">
        <v>5</v>
      </c>
      <c r="AL28" s="10">
        <v>274</v>
      </c>
      <c r="AM28" s="10">
        <v>9.1</v>
      </c>
      <c r="AN28" s="10">
        <v>208</v>
      </c>
      <c r="AO28" s="10">
        <v>6.9</v>
      </c>
      <c r="AP28" s="10">
        <v>701</v>
      </c>
      <c r="AQ28" s="10">
        <v>455</v>
      </c>
      <c r="AR28" s="10">
        <v>266</v>
      </c>
      <c r="AS28" s="10">
        <v>159</v>
      </c>
      <c r="AT28" s="10">
        <v>5.13</v>
      </c>
      <c r="AU28" s="10">
        <v>64</v>
      </c>
      <c r="AV28" s="10">
        <v>2.06</v>
      </c>
      <c r="AW28" s="10">
        <v>6</v>
      </c>
      <c r="AX28" s="10">
        <v>5</v>
      </c>
      <c r="AY28" s="10">
        <v>296</v>
      </c>
      <c r="AZ28" s="10">
        <v>9.5500000000000007</v>
      </c>
      <c r="BA28" s="10">
        <v>202</v>
      </c>
      <c r="BB28" s="10">
        <v>6.52</v>
      </c>
      <c r="BC28" s="10">
        <v>541</v>
      </c>
      <c r="BD28" s="10">
        <v>334</v>
      </c>
      <c r="BE28" s="10">
        <v>207</v>
      </c>
      <c r="BF28" s="10">
        <v>79</v>
      </c>
      <c r="BG28" s="10">
        <v>2.63</v>
      </c>
      <c r="BH28" s="10">
        <v>41</v>
      </c>
      <c r="BI28" s="10">
        <v>1.37</v>
      </c>
      <c r="BJ28" s="10">
        <v>7</v>
      </c>
      <c r="BK28" s="10">
        <v>4</v>
      </c>
      <c r="BL28" s="10">
        <v>255</v>
      </c>
      <c r="BM28" s="10">
        <v>8.5</v>
      </c>
      <c r="BN28" s="10">
        <v>166</v>
      </c>
      <c r="BO28" s="10">
        <v>5.53</v>
      </c>
      <c r="BP28" s="10">
        <v>633</v>
      </c>
      <c r="BQ28" s="10">
        <v>418</v>
      </c>
      <c r="BR28" s="10">
        <v>215</v>
      </c>
      <c r="BS28" s="10">
        <v>134</v>
      </c>
      <c r="BT28" s="10">
        <v>4.32</v>
      </c>
      <c r="BU28" s="10">
        <v>56</v>
      </c>
      <c r="BV28" s="10">
        <v>1.81</v>
      </c>
      <c r="BW28" s="10">
        <v>7</v>
      </c>
      <c r="BX28" s="10">
        <v>5</v>
      </c>
      <c r="BY28" s="10">
        <v>281</v>
      </c>
      <c r="BZ28" s="10">
        <v>9.16</v>
      </c>
      <c r="CA28" s="10">
        <v>159</v>
      </c>
      <c r="CB28" s="10">
        <v>5.13</v>
      </c>
      <c r="CC28" s="10">
        <v>555</v>
      </c>
      <c r="CD28" s="10">
        <v>328</v>
      </c>
      <c r="CE28" s="10">
        <v>226</v>
      </c>
      <c r="CF28" s="10">
        <v>61</v>
      </c>
      <c r="CG28" s="10">
        <v>1.97</v>
      </c>
      <c r="CH28" s="10">
        <v>49</v>
      </c>
      <c r="CI28" s="10">
        <v>1.58</v>
      </c>
      <c r="CJ28" s="10">
        <v>7</v>
      </c>
      <c r="CK28" s="10">
        <v>4</v>
      </c>
      <c r="CL28" s="10">
        <v>267</v>
      </c>
      <c r="CM28" s="10">
        <v>8.61</v>
      </c>
      <c r="CN28" s="10">
        <v>177</v>
      </c>
      <c r="CO28" s="10">
        <v>5.71</v>
      </c>
      <c r="CP28" s="10">
        <v>584</v>
      </c>
      <c r="CQ28" s="10">
        <v>329</v>
      </c>
      <c r="CR28" s="10">
        <v>255</v>
      </c>
      <c r="CS28" s="10">
        <v>70</v>
      </c>
      <c r="CT28" s="10">
        <v>2.5</v>
      </c>
      <c r="CU28" s="10">
        <v>38</v>
      </c>
      <c r="CV28" s="10">
        <v>1.36</v>
      </c>
      <c r="CW28" s="10">
        <v>7</v>
      </c>
      <c r="CX28" s="10">
        <v>4</v>
      </c>
      <c r="CY28" s="10">
        <v>259</v>
      </c>
      <c r="CZ28" s="10">
        <v>9.25</v>
      </c>
      <c r="DA28" s="10">
        <v>217</v>
      </c>
      <c r="DB28" s="10">
        <v>7.75</v>
      </c>
      <c r="DC28" s="10">
        <v>594</v>
      </c>
      <c r="DD28" s="10">
        <v>320</v>
      </c>
      <c r="DE28" s="10">
        <v>274</v>
      </c>
      <c r="DF28" s="10">
        <v>59</v>
      </c>
      <c r="DG28" s="10">
        <v>1.9</v>
      </c>
      <c r="DH28" s="10">
        <v>41</v>
      </c>
      <c r="DI28" s="10">
        <v>1.32</v>
      </c>
      <c r="DJ28" s="10">
        <v>7</v>
      </c>
      <c r="DK28" s="10">
        <v>4</v>
      </c>
      <c r="DL28" s="10">
        <v>261</v>
      </c>
      <c r="DM28" s="10">
        <v>8.41</v>
      </c>
      <c r="DN28" s="10">
        <v>233</v>
      </c>
      <c r="DO28" s="10">
        <v>7.51</v>
      </c>
      <c r="DP28" s="10">
        <v>669</v>
      </c>
      <c r="DQ28" s="10">
        <v>376</v>
      </c>
      <c r="DR28" s="10">
        <v>293</v>
      </c>
      <c r="DS28" s="10">
        <v>90</v>
      </c>
      <c r="DT28" s="10">
        <v>3</v>
      </c>
      <c r="DU28" s="10">
        <v>58</v>
      </c>
      <c r="DV28" s="10">
        <v>1.93</v>
      </c>
      <c r="DW28" s="10">
        <v>8</v>
      </c>
      <c r="DX28" s="10">
        <v>4</v>
      </c>
      <c r="DY28" s="10">
        <v>286</v>
      </c>
      <c r="DZ28" s="10">
        <v>9.5299999999999994</v>
      </c>
      <c r="EA28" s="10">
        <v>235</v>
      </c>
      <c r="EB28" s="10">
        <v>7.83</v>
      </c>
      <c r="EC28" s="10">
        <v>567</v>
      </c>
      <c r="ED28" s="10">
        <v>324</v>
      </c>
      <c r="EE28" s="10">
        <v>243</v>
      </c>
      <c r="EF28" s="10">
        <v>61</v>
      </c>
      <c r="EG28" s="10">
        <v>1.97</v>
      </c>
      <c r="EH28" s="10">
        <v>48</v>
      </c>
      <c r="EI28" s="10">
        <v>1.6</v>
      </c>
      <c r="EJ28" s="10">
        <v>7</v>
      </c>
      <c r="EK28" s="10">
        <v>4</v>
      </c>
      <c r="EL28" s="10">
        <v>263</v>
      </c>
      <c r="EM28" s="10">
        <v>8.48</v>
      </c>
      <c r="EN28" s="10">
        <v>195</v>
      </c>
      <c r="EO28" s="10">
        <v>6.29</v>
      </c>
      <c r="EP28" s="10">
        <v>632</v>
      </c>
      <c r="EQ28" s="10">
        <v>345</v>
      </c>
      <c r="ER28" s="10">
        <v>287</v>
      </c>
      <c r="ES28" s="10">
        <v>108</v>
      </c>
      <c r="ET28" s="10">
        <v>3.6</v>
      </c>
      <c r="EU28" s="10">
        <v>71</v>
      </c>
      <c r="EV28" s="10">
        <v>2.29</v>
      </c>
      <c r="EW28" s="10">
        <v>8</v>
      </c>
      <c r="EX28" s="10">
        <v>4</v>
      </c>
      <c r="EY28" s="10">
        <v>237</v>
      </c>
      <c r="EZ28" s="10">
        <v>7.9</v>
      </c>
      <c r="FA28" s="10">
        <v>216</v>
      </c>
      <c r="FB28" s="10">
        <v>7.2</v>
      </c>
      <c r="FC28" s="56">
        <v>7000</v>
      </c>
      <c r="FD28" s="56">
        <v>4500</v>
      </c>
      <c r="FE28" s="56">
        <v>3000</v>
      </c>
      <c r="FF28" s="56">
        <v>960</v>
      </c>
      <c r="FG28" s="56">
        <v>2.65</v>
      </c>
      <c r="FH28" s="56">
        <v>750</v>
      </c>
      <c r="FI28" s="56">
        <v>1.5</v>
      </c>
      <c r="FJ28" s="56">
        <v>6</v>
      </c>
      <c r="FK28" s="56">
        <v>4</v>
      </c>
      <c r="FL28" s="56">
        <v>3000</v>
      </c>
      <c r="FM28" s="56">
        <v>7.5</v>
      </c>
      <c r="FN28" s="56">
        <v>2750</v>
      </c>
      <c r="FO28" s="56">
        <v>6</v>
      </c>
    </row>
    <row r="29" spans="1:171" s="7" customFormat="1" x14ac:dyDescent="0.25">
      <c r="A29" s="26">
        <v>28</v>
      </c>
      <c r="B29" s="27" t="s">
        <v>232</v>
      </c>
      <c r="C29" s="38">
        <v>5017</v>
      </c>
      <c r="D29" s="38">
        <v>10743</v>
      </c>
      <c r="E29" s="38">
        <v>207</v>
      </c>
      <c r="F29" s="38">
        <v>9.9</v>
      </c>
      <c r="G29" s="38">
        <v>6</v>
      </c>
      <c r="H29" s="38">
        <v>2</v>
      </c>
      <c r="I29" s="38">
        <v>46.58</v>
      </c>
      <c r="J29" s="38">
        <v>41.04</v>
      </c>
      <c r="K29" s="38">
        <v>11.9</v>
      </c>
      <c r="L29" s="38"/>
      <c r="M29" s="38"/>
      <c r="N29" s="38"/>
      <c r="O29" s="38"/>
      <c r="P29" s="38">
        <v>5001</v>
      </c>
      <c r="Q29" s="38">
        <v>10788</v>
      </c>
      <c r="R29" s="38">
        <v>281</v>
      </c>
      <c r="S29" s="38">
        <v>12.2</v>
      </c>
      <c r="T29" s="50">
        <v>6</v>
      </c>
      <c r="U29" s="38">
        <v>2</v>
      </c>
      <c r="V29" s="38">
        <v>88.45</v>
      </c>
      <c r="W29" s="38">
        <v>79.900000000000006</v>
      </c>
      <c r="X29" s="38">
        <v>9.6999999999999993</v>
      </c>
      <c r="Y29" s="38"/>
      <c r="Z29" s="38"/>
      <c r="AA29" s="38"/>
      <c r="AB29" s="38"/>
      <c r="AC29" s="38">
        <v>4546</v>
      </c>
      <c r="AD29" s="38">
        <v>10788</v>
      </c>
      <c r="AE29" s="38">
        <v>245</v>
      </c>
      <c r="AF29" s="38">
        <v>13.6</v>
      </c>
      <c r="AG29" s="38">
        <v>6</v>
      </c>
      <c r="AH29" s="38">
        <v>2</v>
      </c>
      <c r="AI29" s="38">
        <v>128.9</v>
      </c>
      <c r="AJ29" s="38">
        <v>122.2</v>
      </c>
      <c r="AK29" s="38">
        <v>5.3</v>
      </c>
      <c r="AL29" s="38"/>
      <c r="AM29" s="38"/>
      <c r="AN29" s="38"/>
      <c r="AO29" s="38"/>
      <c r="AP29" s="38">
        <v>4976</v>
      </c>
      <c r="AQ29" s="38">
        <v>10901</v>
      </c>
      <c r="AR29" s="38">
        <v>225</v>
      </c>
      <c r="AS29" s="38">
        <v>9.8000000000000007</v>
      </c>
      <c r="AT29" s="38">
        <v>6</v>
      </c>
      <c r="AU29" s="38">
        <v>1</v>
      </c>
      <c r="AV29" s="38">
        <v>169.7</v>
      </c>
      <c r="AW29" s="38">
        <v>156.1</v>
      </c>
      <c r="AX29" s="38">
        <v>8</v>
      </c>
      <c r="AY29" s="38"/>
      <c r="AZ29" s="38"/>
      <c r="BA29" s="38"/>
      <c r="BB29" s="38"/>
      <c r="BC29" s="38">
        <v>4898</v>
      </c>
      <c r="BD29" s="38">
        <v>10901</v>
      </c>
      <c r="BE29" s="38">
        <v>221</v>
      </c>
      <c r="BF29" s="38">
        <v>11.6</v>
      </c>
      <c r="BG29" s="38">
        <v>6</v>
      </c>
      <c r="BH29" s="38">
        <v>1</v>
      </c>
      <c r="BI29" s="38">
        <v>207.1</v>
      </c>
      <c r="BJ29" s="38">
        <v>197.8</v>
      </c>
      <c r="BK29" s="38">
        <v>5.5</v>
      </c>
      <c r="BL29" s="38"/>
      <c r="BM29" s="38"/>
      <c r="BN29" s="38"/>
      <c r="BO29" s="38"/>
      <c r="BP29" s="38">
        <v>4871</v>
      </c>
      <c r="BQ29" s="38">
        <v>11440</v>
      </c>
      <c r="BR29" s="38">
        <v>183</v>
      </c>
      <c r="BS29" s="38">
        <v>10.199999999999999</v>
      </c>
      <c r="BT29" s="38">
        <v>6</v>
      </c>
      <c r="BU29" s="38">
        <v>2</v>
      </c>
      <c r="BV29" s="38">
        <v>239.9</v>
      </c>
      <c r="BW29" s="38">
        <v>234.2</v>
      </c>
      <c r="BX29" s="38">
        <v>2.4</v>
      </c>
      <c r="BY29" s="38"/>
      <c r="BZ29" s="38"/>
      <c r="CA29" s="38"/>
      <c r="CB29" s="38"/>
      <c r="CC29" s="38">
        <v>5076</v>
      </c>
      <c r="CD29" s="38">
        <v>11492</v>
      </c>
      <c r="CE29" s="38">
        <v>199</v>
      </c>
      <c r="CF29" s="38">
        <v>9.5</v>
      </c>
      <c r="CG29" s="38">
        <v>6</v>
      </c>
      <c r="CH29" s="38">
        <v>2</v>
      </c>
      <c r="CI29" s="38">
        <v>285.10000000000002</v>
      </c>
      <c r="CJ29" s="38">
        <v>269.60000000000002</v>
      </c>
      <c r="CK29" s="38">
        <v>5.4</v>
      </c>
      <c r="CL29" s="38"/>
      <c r="CM29" s="38"/>
      <c r="CN29" s="38"/>
      <c r="CO29" s="38"/>
      <c r="CP29" s="38">
        <v>4951</v>
      </c>
      <c r="CQ29" s="38">
        <v>11527</v>
      </c>
      <c r="CR29" s="38">
        <v>163</v>
      </c>
      <c r="CS29" s="38">
        <v>8.1999999999999993</v>
      </c>
      <c r="CT29" s="38">
        <v>6</v>
      </c>
      <c r="CU29" s="38">
        <v>2</v>
      </c>
      <c r="CV29" s="38">
        <v>314.60000000000002</v>
      </c>
      <c r="CW29" s="38">
        <v>305.89999999999998</v>
      </c>
      <c r="CX29" s="38">
        <v>2.8</v>
      </c>
      <c r="CY29" s="38"/>
      <c r="CZ29" s="38"/>
      <c r="DA29" s="38"/>
      <c r="DB29" s="38"/>
      <c r="DC29" s="38">
        <v>5030</v>
      </c>
      <c r="DD29" s="38">
        <v>11583</v>
      </c>
      <c r="DE29" s="38">
        <v>181</v>
      </c>
      <c r="DF29" s="38">
        <v>8.6</v>
      </c>
      <c r="DG29" s="38">
        <v>5</v>
      </c>
      <c r="DH29" s="38">
        <v>3</v>
      </c>
      <c r="DI29" s="38">
        <v>3.577</v>
      </c>
      <c r="DJ29" s="38">
        <v>337.6</v>
      </c>
      <c r="DK29" s="38">
        <v>5.7</v>
      </c>
      <c r="DL29" s="38"/>
      <c r="DM29" s="38"/>
      <c r="DN29" s="38"/>
      <c r="DO29" s="38"/>
      <c r="DP29" s="38">
        <v>5171</v>
      </c>
      <c r="DQ29" s="38">
        <v>11665</v>
      </c>
      <c r="DR29" s="38">
        <v>252</v>
      </c>
      <c r="DS29" s="38">
        <v>12</v>
      </c>
      <c r="DT29" s="38">
        <v>5</v>
      </c>
      <c r="DU29" s="38">
        <v>3</v>
      </c>
      <c r="DV29" s="38">
        <v>4.2699999999999996</v>
      </c>
      <c r="DW29" s="38">
        <v>380</v>
      </c>
      <c r="DX29" s="38">
        <v>11</v>
      </c>
      <c r="DY29" s="38"/>
      <c r="DZ29" s="38"/>
      <c r="EA29" s="38"/>
      <c r="EB29" s="38"/>
      <c r="EC29" s="38">
        <v>4813</v>
      </c>
      <c r="ED29" s="38">
        <v>11748</v>
      </c>
      <c r="EE29" s="38">
        <v>426</v>
      </c>
      <c r="EF29" s="38">
        <v>19.399999999999999</v>
      </c>
      <c r="EG29" s="38">
        <v>6</v>
      </c>
      <c r="EH29" s="38">
        <v>3</v>
      </c>
      <c r="EI29" s="38">
        <v>4.7300000000000004</v>
      </c>
      <c r="EJ29" s="38">
        <v>417</v>
      </c>
      <c r="EK29" s="38">
        <v>11.8</v>
      </c>
      <c r="EL29" s="38"/>
      <c r="EM29" s="38"/>
      <c r="EN29" s="38"/>
      <c r="EO29" s="38"/>
      <c r="EP29" s="38">
        <v>4421</v>
      </c>
      <c r="EQ29" s="38">
        <v>11820</v>
      </c>
      <c r="ER29" s="38">
        <v>469</v>
      </c>
      <c r="ES29" s="38">
        <v>23.5</v>
      </c>
      <c r="ET29" s="38">
        <v>6</v>
      </c>
      <c r="EU29" s="38">
        <v>3</v>
      </c>
      <c r="EV29" s="38">
        <v>5.28</v>
      </c>
      <c r="EW29" s="38">
        <v>461</v>
      </c>
      <c r="EX29" s="38">
        <v>12.7</v>
      </c>
      <c r="EY29" s="38"/>
      <c r="EZ29" s="38"/>
      <c r="FA29" s="38"/>
      <c r="FB29" s="38"/>
      <c r="FC29" s="56">
        <v>55500</v>
      </c>
      <c r="FD29" s="56">
        <v>10250</v>
      </c>
      <c r="FE29" s="56">
        <v>3150</v>
      </c>
      <c r="FF29" s="56">
        <v>13.1</v>
      </c>
      <c r="FG29" s="56">
        <v>10</v>
      </c>
      <c r="FH29" s="56">
        <v>5</v>
      </c>
      <c r="FI29" s="56">
        <v>630</v>
      </c>
      <c r="FJ29" s="56">
        <v>535</v>
      </c>
      <c r="FK29" s="56">
        <v>10</v>
      </c>
      <c r="FL29" s="56"/>
      <c r="FM29" s="56"/>
      <c r="FN29" s="56"/>
      <c r="FO29" s="56"/>
    </row>
    <row r="30" spans="1:171" x14ac:dyDescent="0.25">
      <c r="A30" s="25">
        <v>29</v>
      </c>
      <c r="B30" s="28">
        <v>911</v>
      </c>
      <c r="C30" s="10">
        <v>11880</v>
      </c>
      <c r="D30" s="10">
        <v>2.19</v>
      </c>
      <c r="E30" s="10">
        <v>1.02</v>
      </c>
      <c r="F30" s="10">
        <v>2.44</v>
      </c>
      <c r="G30" s="10">
        <v>4.01</v>
      </c>
      <c r="H30" s="10">
        <v>97.1</v>
      </c>
      <c r="I30" s="10"/>
      <c r="J30" s="10"/>
      <c r="K30" s="10"/>
      <c r="L30" s="10"/>
      <c r="M30" s="10"/>
      <c r="N30" s="10"/>
      <c r="O30" s="10"/>
      <c r="P30" s="10">
        <v>12401</v>
      </c>
      <c r="Q30" s="10">
        <v>2.1800000000000002</v>
      </c>
      <c r="R30" s="10">
        <v>1.08</v>
      </c>
      <c r="S30" s="10">
        <v>2.42</v>
      </c>
      <c r="T30" s="16">
        <v>4.18</v>
      </c>
      <c r="U30" s="10">
        <v>95.75</v>
      </c>
      <c r="V30" s="10"/>
      <c r="W30" s="10"/>
      <c r="X30" s="10"/>
      <c r="Y30" s="10"/>
      <c r="Z30" s="10"/>
      <c r="AA30" s="10"/>
      <c r="AB30" s="10"/>
      <c r="AC30" s="10">
        <v>12039</v>
      </c>
      <c r="AD30" s="10">
        <v>2.17</v>
      </c>
      <c r="AE30" s="10">
        <v>1.04</v>
      </c>
      <c r="AF30" s="10">
        <v>2.34</v>
      </c>
      <c r="AG30" s="10">
        <v>3.92</v>
      </c>
      <c r="AH30" s="10">
        <v>96.65</v>
      </c>
      <c r="AI30" s="10"/>
      <c r="AJ30" s="10"/>
      <c r="AK30" s="10"/>
      <c r="AL30" s="10"/>
      <c r="AM30" s="10"/>
      <c r="AN30" s="10"/>
      <c r="AO30" s="10"/>
      <c r="AP30" s="10">
        <v>12072</v>
      </c>
      <c r="AQ30" s="10">
        <v>2.08</v>
      </c>
      <c r="AR30" s="10">
        <v>1.17</v>
      </c>
      <c r="AS30" s="10">
        <v>2.48</v>
      </c>
      <c r="AT30" s="18">
        <v>4.05</v>
      </c>
      <c r="AU30" s="10">
        <v>96.6</v>
      </c>
      <c r="AV30" s="10"/>
      <c r="AW30" s="10"/>
      <c r="AX30" s="10"/>
      <c r="AY30" s="10"/>
      <c r="AZ30" s="10"/>
      <c r="BA30" s="10"/>
      <c r="BB30" s="10"/>
      <c r="BC30" s="10">
        <v>10866</v>
      </c>
      <c r="BD30" s="10">
        <v>2.11</v>
      </c>
      <c r="BE30" s="10">
        <v>0.54</v>
      </c>
      <c r="BF30" s="10">
        <v>2.4500000000000002</v>
      </c>
      <c r="BG30" s="10">
        <v>3.77</v>
      </c>
      <c r="BH30" s="10">
        <v>98.49</v>
      </c>
      <c r="BI30" s="10"/>
      <c r="BJ30" s="10"/>
      <c r="BK30" s="10"/>
      <c r="BL30" s="10"/>
      <c r="BM30" s="10"/>
      <c r="BN30" s="10"/>
      <c r="BO30" s="10"/>
      <c r="BP30" s="10">
        <v>11269</v>
      </c>
      <c r="BQ30" s="10">
        <v>2.06</v>
      </c>
      <c r="BR30" s="10">
        <v>1.1299999999999999</v>
      </c>
      <c r="BS30" s="10">
        <v>2.52</v>
      </c>
      <c r="BT30" s="10">
        <v>3.77</v>
      </c>
      <c r="BU30" s="10">
        <v>98.46</v>
      </c>
      <c r="BV30" s="10"/>
      <c r="BW30" s="10"/>
      <c r="BX30" s="10"/>
      <c r="BY30" s="10"/>
      <c r="BZ30" s="10"/>
      <c r="CA30" s="10"/>
      <c r="CB30" s="10"/>
      <c r="CC30" s="10">
        <v>11097</v>
      </c>
      <c r="CD30" s="10">
        <v>2.33</v>
      </c>
      <c r="CE30" s="10">
        <v>0.51</v>
      </c>
      <c r="CF30" s="10">
        <v>2.15</v>
      </c>
      <c r="CG30" s="10">
        <v>3.74</v>
      </c>
      <c r="CH30" s="10">
        <v>99.27</v>
      </c>
      <c r="CI30" s="10"/>
      <c r="CJ30" s="10"/>
      <c r="CK30" s="10"/>
      <c r="CL30" s="10"/>
      <c r="CM30" s="10"/>
      <c r="CN30" s="10"/>
      <c r="CO30" s="10"/>
      <c r="CP30" s="10">
        <v>10091</v>
      </c>
      <c r="CQ30" s="10">
        <v>2.06</v>
      </c>
      <c r="CR30" s="10">
        <v>0.5</v>
      </c>
      <c r="CS30" s="10">
        <v>2.37</v>
      </c>
      <c r="CT30" s="10">
        <v>3.72</v>
      </c>
      <c r="CU30" s="10">
        <v>98.67</v>
      </c>
      <c r="CV30" s="10"/>
      <c r="CW30" s="10"/>
      <c r="CX30" s="10"/>
      <c r="CY30" s="10"/>
      <c r="CZ30" s="10"/>
      <c r="DA30" s="10"/>
      <c r="DB30" s="10"/>
      <c r="DC30" s="10">
        <v>11282</v>
      </c>
      <c r="DD30" s="10">
        <v>1.91</v>
      </c>
      <c r="DE30" s="10">
        <v>0.79</v>
      </c>
      <c r="DF30" s="10">
        <v>2.5099999999999998</v>
      </c>
      <c r="DG30" s="10">
        <v>3.79</v>
      </c>
      <c r="DH30" s="10">
        <v>98.93</v>
      </c>
      <c r="DI30" s="10"/>
      <c r="DJ30" s="10"/>
      <c r="DK30" s="10"/>
      <c r="DL30" s="10"/>
      <c r="DM30" s="10"/>
      <c r="DN30" s="10"/>
      <c r="DO30" s="10"/>
      <c r="DP30" s="10">
        <v>13842</v>
      </c>
      <c r="DQ30" s="10">
        <v>2.0299999999999998</v>
      </c>
      <c r="DR30" s="10">
        <v>0.59</v>
      </c>
      <c r="DS30" s="10">
        <v>2.5</v>
      </c>
      <c r="DT30" s="10">
        <v>4.8</v>
      </c>
      <c r="DU30" s="10">
        <v>97.83</v>
      </c>
      <c r="DV30" s="10"/>
      <c r="DW30" s="10"/>
      <c r="DX30" s="10"/>
      <c r="DY30" s="10"/>
      <c r="DZ30" s="10"/>
      <c r="EA30" s="10"/>
      <c r="EB30" s="10"/>
      <c r="EC30" s="10">
        <v>12157</v>
      </c>
      <c r="ED30" s="10">
        <v>2</v>
      </c>
      <c r="EE30" s="10">
        <v>0.49</v>
      </c>
      <c r="EF30" s="10">
        <v>2.56</v>
      </c>
      <c r="EG30" s="10">
        <v>4.08</v>
      </c>
      <c r="EH30" s="10">
        <v>98.28</v>
      </c>
      <c r="EI30" s="10"/>
      <c r="EJ30" s="10"/>
      <c r="EK30" s="10"/>
      <c r="EL30" s="10"/>
      <c r="EM30" s="10"/>
      <c r="EN30" s="10"/>
      <c r="EO30" s="10"/>
      <c r="EP30" s="38">
        <v>11480</v>
      </c>
      <c r="EQ30" s="38">
        <v>2.0299999999999998</v>
      </c>
      <c r="ER30" s="38">
        <v>0.54</v>
      </c>
      <c r="ES30" s="38">
        <v>2.4300000000000002</v>
      </c>
      <c r="ET30" s="38">
        <v>4.0199999999999996</v>
      </c>
      <c r="EU30" s="38">
        <v>98.2</v>
      </c>
      <c r="EV30" s="10"/>
      <c r="EW30" s="10"/>
      <c r="EX30" s="10"/>
      <c r="EY30" s="10"/>
      <c r="EZ30" s="10"/>
      <c r="FA30" s="10"/>
      <c r="FB30" s="10"/>
      <c r="FC30" s="56">
        <v>120500</v>
      </c>
      <c r="FD30" s="56">
        <v>2.25</v>
      </c>
      <c r="FE30" s="56">
        <v>1</v>
      </c>
      <c r="FF30" s="56">
        <v>2.5</v>
      </c>
      <c r="FG30" s="56">
        <v>4.25</v>
      </c>
      <c r="FH30" s="56">
        <v>95.25</v>
      </c>
      <c r="FI30" s="56"/>
      <c r="FJ30" s="56"/>
      <c r="FK30" s="56"/>
      <c r="FL30" s="56"/>
      <c r="FM30" s="56"/>
      <c r="FN30" s="56"/>
      <c r="FO30" s="56"/>
    </row>
    <row r="31" spans="1:171" x14ac:dyDescent="0.25">
      <c r="A31" s="35"/>
      <c r="B31" s="40"/>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S31" s="10"/>
      <c r="DT31" s="10"/>
      <c r="DU31" s="10"/>
      <c r="FC31" s="7"/>
      <c r="FD31" s="7"/>
      <c r="FE31" s="7"/>
      <c r="FF31" s="7"/>
      <c r="FG31" s="7"/>
      <c r="FH31" s="7"/>
      <c r="FI31" s="7"/>
      <c r="FJ31" s="7"/>
      <c r="FK31" s="7"/>
      <c r="FL31" s="7"/>
      <c r="FM31" s="7"/>
      <c r="FN31" s="7"/>
      <c r="FO31" s="7"/>
    </row>
    <row r="32" spans="1:171" x14ac:dyDescent="0.25">
      <c r="A32" s="35"/>
      <c r="B32" s="36"/>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S32" s="10"/>
      <c r="DT32" s="10"/>
      <c r="DU32" s="10"/>
      <c r="DV32" s="10"/>
    </row>
    <row r="33" spans="1:124" x14ac:dyDescent="0.25">
      <c r="A33" s="35"/>
      <c r="B33" s="3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S33" s="10"/>
      <c r="DT33" s="10"/>
    </row>
    <row r="34" spans="1:124" x14ac:dyDescent="0.25">
      <c r="C34" s="10"/>
      <c r="D34" s="10"/>
      <c r="E34" s="10"/>
      <c r="F34" s="10"/>
      <c r="G34" s="10"/>
      <c r="H34" s="10"/>
      <c r="I34" s="10"/>
      <c r="J34" s="10"/>
      <c r="K34" s="10"/>
      <c r="L34" s="10"/>
      <c r="M34" s="10"/>
      <c r="N34" s="10"/>
      <c r="O34" s="10"/>
      <c r="P34" s="10"/>
      <c r="Q34" s="10"/>
      <c r="R34" s="10"/>
      <c r="S34" s="10"/>
      <c r="T34" s="16"/>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row>
    <row r="35" spans="1:124" x14ac:dyDescent="0.25">
      <c r="C35" s="10"/>
      <c r="D35" s="10"/>
      <c r="E35" s="10"/>
      <c r="F35" s="10"/>
      <c r="G35" s="10"/>
      <c r="H35" s="10"/>
      <c r="I35" s="10"/>
      <c r="J35" s="10"/>
      <c r="K35" s="10"/>
      <c r="L35" s="10"/>
      <c r="M35" s="10"/>
      <c r="N35" s="10"/>
      <c r="O35" s="10"/>
      <c r="P35" s="10"/>
      <c r="Q35" s="10"/>
      <c r="R35" s="10"/>
      <c r="S35" s="10"/>
      <c r="T35" s="16"/>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row>
    <row r="36" spans="1:124" x14ac:dyDescent="0.25">
      <c r="C36" s="10"/>
      <c r="D36" s="10"/>
      <c r="E36" s="10"/>
      <c r="F36" s="10"/>
      <c r="G36" s="10"/>
      <c r="H36" s="10"/>
      <c r="I36" s="10"/>
      <c r="J36" s="10"/>
      <c r="K36" s="10"/>
      <c r="L36" s="10"/>
      <c r="M36" s="10"/>
      <c r="N36" s="10"/>
      <c r="O36" s="10"/>
      <c r="P36" s="10"/>
      <c r="Q36" s="10"/>
      <c r="R36" s="10"/>
      <c r="S36" s="10"/>
      <c r="T36" s="16"/>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row>
    <row r="37" spans="1:124" x14ac:dyDescent="0.25">
      <c r="C37" s="10"/>
      <c r="D37" s="10"/>
      <c r="E37" s="10"/>
      <c r="F37" s="10"/>
      <c r="G37" s="10"/>
      <c r="H37" s="10"/>
      <c r="I37" s="10"/>
      <c r="J37" s="10"/>
      <c r="K37" s="10"/>
      <c r="L37" s="10"/>
      <c r="M37" s="10"/>
      <c r="N37" s="10"/>
      <c r="O37" s="10"/>
      <c r="P37" s="10"/>
      <c r="Q37" s="10"/>
      <c r="R37" s="10"/>
      <c r="S37" s="10"/>
      <c r="T37" s="16"/>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row>
    <row r="38" spans="1:124" x14ac:dyDescent="0.25">
      <c r="C38" s="10"/>
      <c r="D38" s="10"/>
      <c r="E38" s="10"/>
      <c r="F38" s="10"/>
      <c r="G38" s="10"/>
      <c r="H38" s="10"/>
      <c r="I38" s="10"/>
      <c r="J38" s="10"/>
      <c r="K38" s="10"/>
      <c r="L38" s="10"/>
      <c r="M38" s="10"/>
      <c r="N38" s="10"/>
      <c r="O38" s="10"/>
      <c r="P38" s="10"/>
      <c r="Q38" s="10"/>
      <c r="R38" s="10"/>
      <c r="S38" s="10"/>
      <c r="T38" s="16"/>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row>
    <row r="39" spans="1:124" x14ac:dyDescent="0.25">
      <c r="C39" s="10"/>
      <c r="D39" s="10"/>
      <c r="E39" s="10"/>
      <c r="F39" s="10"/>
      <c r="G39" s="10"/>
      <c r="H39" s="10"/>
      <c r="I39" s="10"/>
      <c r="J39" s="10"/>
      <c r="K39" s="10"/>
      <c r="L39" s="10"/>
      <c r="M39" s="10"/>
      <c r="N39" s="10"/>
      <c r="O39" s="10"/>
      <c r="P39" s="10"/>
      <c r="Q39" s="10"/>
      <c r="R39" s="10"/>
      <c r="S39" s="10"/>
      <c r="T39" s="16"/>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row>
    <row r="40" spans="1:124" x14ac:dyDescent="0.25">
      <c r="B40" s="9"/>
      <c r="C40" s="10"/>
      <c r="D40" s="10"/>
      <c r="E40" s="10"/>
      <c r="F40" s="10"/>
      <c r="G40" s="10"/>
      <c r="H40" s="10"/>
      <c r="I40" s="10"/>
      <c r="J40" s="10"/>
      <c r="K40" s="10"/>
      <c r="L40" s="10"/>
      <c r="M40" s="10"/>
      <c r="N40" s="10"/>
      <c r="O40" s="10"/>
      <c r="P40" s="10"/>
      <c r="Q40" s="10"/>
      <c r="R40" s="10"/>
      <c r="S40" s="10"/>
      <c r="T40" s="16"/>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row>
    <row r="41" spans="1:124" x14ac:dyDescent="0.25">
      <c r="C41" s="10"/>
      <c r="D41" s="10"/>
      <c r="E41" s="10"/>
      <c r="F41" s="10"/>
      <c r="G41" s="10"/>
      <c r="H41" s="10"/>
      <c r="I41" s="10"/>
      <c r="J41" s="10"/>
      <c r="K41" s="10"/>
      <c r="L41" s="10"/>
      <c r="M41" s="10"/>
      <c r="N41" s="10"/>
      <c r="O41" s="10"/>
      <c r="P41" s="10"/>
      <c r="Q41" s="10"/>
      <c r="R41" s="10"/>
      <c r="S41" s="10"/>
      <c r="T41" s="16"/>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row>
    <row r="42" spans="1:124" x14ac:dyDescent="0.25">
      <c r="C42" s="10"/>
      <c r="D42" s="10"/>
      <c r="E42" s="10"/>
      <c r="F42" s="10"/>
      <c r="G42" s="10"/>
      <c r="H42" s="10"/>
      <c r="I42" s="10"/>
      <c r="J42" s="10"/>
      <c r="K42" s="10"/>
      <c r="L42" s="10"/>
      <c r="M42" s="10"/>
      <c r="N42" s="10"/>
      <c r="O42" s="10"/>
      <c r="P42" s="10"/>
      <c r="Q42" s="10"/>
      <c r="R42" s="10"/>
      <c r="S42" s="10"/>
      <c r="T42" s="16"/>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row>
    <row r="43" spans="1:124" x14ac:dyDescent="0.25">
      <c r="C43" s="10"/>
      <c r="D43" s="10"/>
      <c r="E43" s="10"/>
      <c r="F43" s="10"/>
      <c r="G43" s="10"/>
      <c r="H43" s="10"/>
      <c r="I43" s="10"/>
      <c r="J43" s="10"/>
      <c r="K43" s="10"/>
      <c r="L43" s="10"/>
      <c r="M43" s="10"/>
      <c r="N43" s="10"/>
      <c r="O43" s="10"/>
      <c r="P43" s="10"/>
      <c r="Q43" s="10"/>
      <c r="R43" s="10"/>
      <c r="S43" s="10"/>
      <c r="T43" s="16"/>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row>
    <row r="44" spans="1:124" x14ac:dyDescent="0.25">
      <c r="C44" s="10"/>
      <c r="D44" s="10"/>
      <c r="E44" s="10"/>
      <c r="F44" s="12"/>
      <c r="G44" s="10"/>
      <c r="H44" s="10"/>
      <c r="I44" s="10"/>
      <c r="J44" s="10"/>
      <c r="K44" s="10"/>
      <c r="L44" s="10"/>
      <c r="M44" s="10"/>
      <c r="N44" s="10"/>
      <c r="O44" s="10"/>
      <c r="P44" s="10"/>
      <c r="Q44" s="10"/>
      <c r="R44" s="10"/>
      <c r="S44" s="10"/>
      <c r="T44" s="16"/>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row>
    <row r="45" spans="1:124" x14ac:dyDescent="0.25">
      <c r="C45" s="10"/>
      <c r="D45" s="10"/>
      <c r="E45" s="10"/>
      <c r="F45" s="10"/>
      <c r="G45" s="10"/>
      <c r="H45" s="10"/>
      <c r="I45" s="10"/>
      <c r="J45" s="10"/>
      <c r="K45" s="10"/>
      <c r="L45" s="10"/>
      <c r="M45" s="10"/>
      <c r="N45" s="10"/>
      <c r="O45" s="10"/>
      <c r="P45" s="10"/>
      <c r="Q45" s="10"/>
      <c r="R45" s="10"/>
      <c r="S45" s="10"/>
      <c r="T45" s="16"/>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row>
    <row r="46" spans="1:124" x14ac:dyDescent="0.25">
      <c r="C46" s="10"/>
      <c r="D46" s="10"/>
      <c r="E46" s="10"/>
      <c r="F46" s="10"/>
      <c r="G46" s="10"/>
      <c r="H46" s="10"/>
      <c r="I46" s="10"/>
      <c r="J46" s="10"/>
      <c r="K46" s="10"/>
      <c r="L46" s="10"/>
      <c r="M46" s="10"/>
      <c r="N46" s="10"/>
      <c r="O46" s="10"/>
      <c r="P46" s="10"/>
      <c r="Q46" s="10"/>
      <c r="R46" s="10"/>
      <c r="S46" s="10"/>
      <c r="T46" s="16"/>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row>
    <row r="47" spans="1:124" x14ac:dyDescent="0.25">
      <c r="B47" s="9"/>
      <c r="C47" s="10"/>
      <c r="D47" s="10"/>
      <c r="E47" s="10"/>
      <c r="F47" s="10"/>
      <c r="G47" s="10"/>
      <c r="H47" s="10"/>
      <c r="I47" s="10"/>
      <c r="J47" s="10"/>
      <c r="K47" s="10"/>
      <c r="L47" s="10"/>
      <c r="M47" s="10"/>
      <c r="N47" s="10"/>
      <c r="O47" s="10"/>
      <c r="P47" s="10"/>
      <c r="Q47" s="10"/>
      <c r="R47" s="10"/>
      <c r="S47" s="10"/>
      <c r="T47" s="16"/>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row>
    <row r="48" spans="1:124" x14ac:dyDescent="0.25">
      <c r="C48" s="10"/>
      <c r="D48" s="10"/>
      <c r="E48" s="10"/>
      <c r="F48" s="10"/>
      <c r="G48" s="10"/>
      <c r="H48" s="10"/>
      <c r="I48" s="10"/>
      <c r="J48" s="10"/>
      <c r="K48" s="10"/>
      <c r="L48" s="10"/>
      <c r="M48" s="10"/>
      <c r="N48" s="10"/>
      <c r="O48" s="10"/>
      <c r="P48" s="10"/>
      <c r="Q48" s="10"/>
      <c r="R48" s="10"/>
      <c r="S48" s="10"/>
      <c r="T48" s="16"/>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row>
    <row r="49" spans="2:120" x14ac:dyDescent="0.25">
      <c r="C49" s="10"/>
      <c r="D49" s="10"/>
      <c r="E49" s="10"/>
      <c r="F49" s="10"/>
      <c r="G49" s="10"/>
      <c r="H49" s="10"/>
      <c r="I49" s="10"/>
      <c r="J49" s="10"/>
      <c r="K49" s="10"/>
      <c r="L49" s="10"/>
      <c r="M49" s="10"/>
      <c r="N49" s="10"/>
      <c r="O49" s="10"/>
      <c r="P49" s="10"/>
      <c r="Q49" s="10"/>
      <c r="R49" s="10"/>
      <c r="S49" s="10"/>
      <c r="T49" s="16"/>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row>
    <row r="50" spans="2:120" x14ac:dyDescent="0.25">
      <c r="C50" s="10"/>
      <c r="D50" s="10"/>
      <c r="E50" s="10"/>
      <c r="F50" s="10"/>
      <c r="G50" s="10"/>
      <c r="H50" s="10"/>
      <c r="I50" s="10"/>
      <c r="J50" s="10"/>
      <c r="K50" s="10"/>
      <c r="L50" s="10"/>
      <c r="M50" s="10"/>
      <c r="N50" s="10"/>
      <c r="O50" s="10"/>
      <c r="P50" s="10"/>
      <c r="Q50" s="10"/>
      <c r="R50" s="10"/>
      <c r="S50" s="10"/>
      <c r="T50" s="16"/>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row>
    <row r="51" spans="2:120" x14ac:dyDescent="0.25">
      <c r="C51" s="10"/>
      <c r="D51" s="10"/>
      <c r="E51" s="10"/>
      <c r="F51" s="10"/>
      <c r="G51" s="10"/>
      <c r="H51" s="10"/>
      <c r="I51" s="10"/>
      <c r="J51" s="10"/>
      <c r="K51" s="10"/>
      <c r="L51" s="10"/>
      <c r="M51" s="10"/>
      <c r="N51" s="10"/>
      <c r="O51" s="10"/>
      <c r="P51" s="10"/>
      <c r="Q51" s="10"/>
      <c r="R51" s="10"/>
      <c r="S51" s="10"/>
      <c r="T51" s="16"/>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row>
    <row r="52" spans="2:120" x14ac:dyDescent="0.25">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row>
    <row r="53" spans="2:120" x14ac:dyDescent="0.2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row>
    <row r="54" spans="2:120" x14ac:dyDescent="0.25">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row>
    <row r="55" spans="2:120" x14ac:dyDescent="0.2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t="s">
        <v>330</v>
      </c>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row>
    <row r="56" spans="2:120" x14ac:dyDescent="0.25">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row>
    <row r="57" spans="2:120" x14ac:dyDescent="0.2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row>
    <row r="58" spans="2:120" x14ac:dyDescent="0.25">
      <c r="B58" s="9"/>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row>
    <row r="59" spans="2:120" x14ac:dyDescent="0.2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row>
    <row r="60" spans="2:120" x14ac:dyDescent="0.25">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row>
    <row r="61" spans="2:120" x14ac:dyDescent="0.2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row>
    <row r="62" spans="2:120" x14ac:dyDescent="0.25">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row>
    <row r="63" spans="2:120" x14ac:dyDescent="0.25">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row>
    <row r="64" spans="2:120" x14ac:dyDescent="0.25">
      <c r="B64" s="9"/>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row>
    <row r="65" spans="2:120" x14ac:dyDescent="0.2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row>
    <row r="66" spans="2:120" x14ac:dyDescent="0.2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row>
    <row r="67" spans="2:120" x14ac:dyDescent="0.25">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row>
    <row r="68" spans="2:120" x14ac:dyDescent="0.25">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row>
    <row r="69" spans="2:120" x14ac:dyDescent="0.25">
      <c r="B69" s="9"/>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row>
    <row r="70" spans="2:120" x14ac:dyDescent="0.25">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row>
    <row r="71" spans="2:120" x14ac:dyDescent="0.25">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row>
    <row r="72" spans="2:120" x14ac:dyDescent="0.25">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row>
    <row r="73" spans="2:120" x14ac:dyDescent="0.25">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row>
    <row r="74" spans="2:120" x14ac:dyDescent="0.25">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row>
    <row r="75" spans="2:120" x14ac:dyDescent="0.2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row>
    <row r="76" spans="2:120" x14ac:dyDescent="0.25">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row>
    <row r="77" spans="2:120" x14ac:dyDescent="0.25">
      <c r="B77" s="9"/>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row>
    <row r="78" spans="2:120" x14ac:dyDescent="0.2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row>
    <row r="79" spans="2:120" x14ac:dyDescent="0.25">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row>
    <row r="80" spans="2:120" x14ac:dyDescent="0.25">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row>
    <row r="81" spans="2:120" x14ac:dyDescent="0.25">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row>
    <row r="82" spans="2:120" x14ac:dyDescent="0.2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row>
    <row r="83" spans="2:120" x14ac:dyDescent="0.25">
      <c r="B83" s="9"/>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row>
    <row r="84" spans="2:120" x14ac:dyDescent="0.25">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row>
    <row r="85" spans="2:120" x14ac:dyDescent="0.25">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row>
    <row r="86" spans="2:120" x14ac:dyDescent="0.25">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row>
    <row r="87" spans="2:120" x14ac:dyDescent="0.25">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row>
    <row r="88" spans="2:120" x14ac:dyDescent="0.25">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row>
    <row r="89" spans="2:120" x14ac:dyDescent="0.25">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row>
    <row r="90" spans="2:120" x14ac:dyDescent="0.25">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row>
    <row r="91" spans="2:120" x14ac:dyDescent="0.25">
      <c r="B91" s="9"/>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row>
    <row r="92" spans="2:120" x14ac:dyDescent="0.25">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row>
    <row r="93" spans="2:120" x14ac:dyDescent="0.25">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row>
    <row r="94" spans="2:120" x14ac:dyDescent="0.25">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row>
    <row r="95" spans="2:120" x14ac:dyDescent="0.25">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row>
    <row r="96" spans="2:120" x14ac:dyDescent="0.25">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row>
    <row r="97" spans="2:120" x14ac:dyDescent="0.25">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row>
    <row r="98" spans="2:120" x14ac:dyDescent="0.25">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row>
    <row r="99" spans="2:120" x14ac:dyDescent="0.25">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row>
    <row r="100" spans="2:120" x14ac:dyDescent="0.25">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row>
    <row r="101" spans="2:120" x14ac:dyDescent="0.25">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row>
    <row r="102" spans="2:120" x14ac:dyDescent="0.25">
      <c r="B102" s="9"/>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row>
    <row r="103" spans="2:120" x14ac:dyDescent="0.25">
      <c r="B103" s="13"/>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row>
    <row r="104" spans="2:120" x14ac:dyDescent="0.25">
      <c r="B104" s="13"/>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row>
    <row r="105" spans="2:120" x14ac:dyDescent="0.25">
      <c r="B105" s="13"/>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row>
    <row r="106" spans="2:120" x14ac:dyDescent="0.25">
      <c r="B106" s="13"/>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row>
    <row r="107" spans="2:120" x14ac:dyDescent="0.25">
      <c r="B107" s="13"/>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row>
    <row r="108" spans="2:120" x14ac:dyDescent="0.25">
      <c r="B108" s="13"/>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row>
    <row r="109" spans="2:120" x14ac:dyDescent="0.25">
      <c r="B109" s="14"/>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row>
    <row r="110" spans="2:120" x14ac:dyDescent="0.25">
      <c r="B110" s="13"/>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row>
    <row r="111" spans="2:120" x14ac:dyDescent="0.25">
      <c r="B111" s="13"/>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row>
    <row r="112" spans="2:120" x14ac:dyDescent="0.25">
      <c r="B112" s="13"/>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row>
    <row r="113" spans="2:120" x14ac:dyDescent="0.25">
      <c r="B113" s="13"/>
      <c r="C113" s="10"/>
      <c r="D113" s="10"/>
      <c r="E113" s="10"/>
      <c r="F113" s="15"/>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row>
    <row r="114" spans="2:120" x14ac:dyDescent="0.25">
      <c r="B114" s="13"/>
      <c r="C114" s="10"/>
      <c r="D114" s="10"/>
      <c r="E114" s="10"/>
      <c r="F114" s="15"/>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row>
    <row r="115" spans="2:120" x14ac:dyDescent="0.25">
      <c r="B115" s="13"/>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row>
    <row r="116" spans="2:120" x14ac:dyDescent="0.25">
      <c r="B116" s="13"/>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row>
    <row r="117" spans="2:120" x14ac:dyDescent="0.25">
      <c r="B117" s="13"/>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row>
    <row r="118" spans="2:120" x14ac:dyDescent="0.25">
      <c r="B118" s="13"/>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row>
    <row r="119" spans="2:120" x14ac:dyDescent="0.25">
      <c r="B119" s="13"/>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row>
    <row r="120" spans="2:120" x14ac:dyDescent="0.25">
      <c r="B120" s="13"/>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row>
    <row r="121" spans="2:120" x14ac:dyDescent="0.25">
      <c r="B121" s="14"/>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row>
    <row r="122" spans="2:120" x14ac:dyDescent="0.25">
      <c r="B122" s="13"/>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row>
    <row r="123" spans="2:120" x14ac:dyDescent="0.25">
      <c r="B123" s="13"/>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row>
    <row r="124" spans="2:120" x14ac:dyDescent="0.25">
      <c r="B124" s="13"/>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row>
    <row r="125" spans="2:120" x14ac:dyDescent="0.25">
      <c r="B125" s="13"/>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row>
    <row r="126" spans="2:120" x14ac:dyDescent="0.25">
      <c r="B126" s="13"/>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row>
    <row r="127" spans="2:120" x14ac:dyDescent="0.25">
      <c r="B127" s="14"/>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row>
    <row r="128" spans="2:120" x14ac:dyDescent="0.25">
      <c r="B128" s="13"/>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row>
    <row r="129" spans="2:120" x14ac:dyDescent="0.25">
      <c r="B129" s="13"/>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row>
    <row r="130" spans="2:120" x14ac:dyDescent="0.25">
      <c r="B130" s="13"/>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row>
    <row r="131" spans="2:120" x14ac:dyDescent="0.25">
      <c r="B131" s="13"/>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row>
    <row r="132" spans="2:120" x14ac:dyDescent="0.25">
      <c r="B132" s="13"/>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row>
    <row r="133" spans="2:120" x14ac:dyDescent="0.25">
      <c r="B133" s="13"/>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row>
    <row r="134" spans="2:120" x14ac:dyDescent="0.25">
      <c r="B134" s="13"/>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row>
    <row r="135" spans="2:120" x14ac:dyDescent="0.25">
      <c r="B135" s="13"/>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row>
    <row r="136" spans="2:120" x14ac:dyDescent="0.25">
      <c r="B136" s="13"/>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row>
    <row r="137" spans="2:120" x14ac:dyDescent="0.25">
      <c r="B137" s="13"/>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row>
    <row r="138" spans="2:120" x14ac:dyDescent="0.25">
      <c r="B138" s="13"/>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row>
    <row r="139" spans="2:120" x14ac:dyDescent="0.25">
      <c r="B139" s="13"/>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row>
    <row r="140" spans="2:120" x14ac:dyDescent="0.25">
      <c r="B140" s="13"/>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row>
    <row r="141" spans="2:120" x14ac:dyDescent="0.25">
      <c r="B141" s="13"/>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row>
    <row r="142" spans="2:120" x14ac:dyDescent="0.25">
      <c r="B142" s="13"/>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row>
    <row r="143" spans="2:120" x14ac:dyDescent="0.25">
      <c r="B143" s="13"/>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row>
    <row r="144" spans="2:120" x14ac:dyDescent="0.25">
      <c r="B144" s="13"/>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row>
    <row r="145" spans="2:120" x14ac:dyDescent="0.25">
      <c r="B145" s="13"/>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row>
    <row r="146" spans="2:120" x14ac:dyDescent="0.25">
      <c r="B146" s="13"/>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row>
    <row r="147" spans="2:120" x14ac:dyDescent="0.25">
      <c r="B147" s="13"/>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row>
    <row r="148" spans="2:120" x14ac:dyDescent="0.25">
      <c r="B148" s="13"/>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row>
    <row r="149" spans="2:120" x14ac:dyDescent="0.25">
      <c r="B149" s="13"/>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row>
    <row r="150" spans="2:120" x14ac:dyDescent="0.25">
      <c r="B150" s="13"/>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row>
    <row r="151" spans="2:120" x14ac:dyDescent="0.25">
      <c r="B151" s="13"/>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row>
    <row r="152" spans="2:120" x14ac:dyDescent="0.25">
      <c r="B152" s="13"/>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row>
    <row r="153" spans="2:120" x14ac:dyDescent="0.25">
      <c r="B153" s="13"/>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row>
    <row r="154" spans="2:120" x14ac:dyDescent="0.25">
      <c r="B154" s="13"/>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row>
    <row r="155" spans="2:120" x14ac:dyDescent="0.25">
      <c r="B155" s="13"/>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row>
    <row r="156" spans="2:120" x14ac:dyDescent="0.25">
      <c r="B156" s="13"/>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row>
    <row r="157" spans="2:120" x14ac:dyDescent="0.25">
      <c r="B157" s="13"/>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row>
    <row r="158" spans="2:120" x14ac:dyDescent="0.25">
      <c r="B158" s="13"/>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row>
    <row r="159" spans="2:120" x14ac:dyDescent="0.25">
      <c r="B159" s="13"/>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row>
    <row r="160" spans="2:120" x14ac:dyDescent="0.25">
      <c r="B160" s="13"/>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row>
    <row r="161" spans="2:120" x14ac:dyDescent="0.25">
      <c r="B161" s="13"/>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row>
    <row r="162" spans="2:120" x14ac:dyDescent="0.25">
      <c r="B162" s="13"/>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row>
    <row r="163" spans="2:120" x14ac:dyDescent="0.25">
      <c r="B163" s="13"/>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row>
    <row r="164" spans="2:120" x14ac:dyDescent="0.25">
      <c r="B164" s="13"/>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row>
    <row r="165" spans="2:120" x14ac:dyDescent="0.25">
      <c r="B165" s="13"/>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row>
    <row r="166" spans="2:120" x14ac:dyDescent="0.25">
      <c r="B166" s="13"/>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row>
    <row r="167" spans="2:120" x14ac:dyDescent="0.25">
      <c r="B167" s="13"/>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row>
    <row r="168" spans="2:120" x14ac:dyDescent="0.25">
      <c r="B168" s="13"/>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row>
    <row r="169" spans="2:120" x14ac:dyDescent="0.25">
      <c r="B169" s="13"/>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row>
    <row r="170" spans="2:120" x14ac:dyDescent="0.25">
      <c r="B170" s="13"/>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row>
    <row r="171" spans="2:120" x14ac:dyDescent="0.25">
      <c r="B171" s="13"/>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row>
    <row r="172" spans="2:120" x14ac:dyDescent="0.25">
      <c r="B172" s="13"/>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row>
    <row r="173" spans="2:120" x14ac:dyDescent="0.25">
      <c r="B173" s="13"/>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row>
    <row r="174" spans="2:120" x14ac:dyDescent="0.25">
      <c r="B174" s="13"/>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row>
    <row r="175" spans="2:120" x14ac:dyDescent="0.25">
      <c r="B175" s="13"/>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row>
    <row r="176" spans="2:120" x14ac:dyDescent="0.25">
      <c r="B176" s="13"/>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row>
    <row r="177" spans="2:120" x14ac:dyDescent="0.25">
      <c r="B177" s="13"/>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row>
    <row r="178" spans="2:120" x14ac:dyDescent="0.25">
      <c r="B178" s="13"/>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row>
    <row r="179" spans="2:120" x14ac:dyDescent="0.25">
      <c r="B179" s="13"/>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row>
    <row r="180" spans="2:120" x14ac:dyDescent="0.25">
      <c r="B180" s="13"/>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row>
    <row r="181" spans="2:120" x14ac:dyDescent="0.25">
      <c r="B181" s="13"/>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row>
    <row r="182" spans="2:120" x14ac:dyDescent="0.25">
      <c r="B182" s="13"/>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row>
    <row r="183" spans="2:120" x14ac:dyDescent="0.25">
      <c r="B183" s="13"/>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row>
    <row r="184" spans="2:120" x14ac:dyDescent="0.25">
      <c r="B184" s="13"/>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row>
    <row r="185" spans="2:120" x14ac:dyDescent="0.25">
      <c r="B185" s="13"/>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row>
    <row r="186" spans="2:120" x14ac:dyDescent="0.25">
      <c r="B186" s="13"/>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row>
    <row r="187" spans="2:120" x14ac:dyDescent="0.25">
      <c r="B187" s="13"/>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row>
    <row r="188" spans="2:120" x14ac:dyDescent="0.25">
      <c r="B188" s="13"/>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row>
    <row r="189" spans="2:120" x14ac:dyDescent="0.25">
      <c r="B189" s="13"/>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row>
    <row r="190" spans="2:120" x14ac:dyDescent="0.25">
      <c r="B190" s="13"/>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row>
    <row r="191" spans="2:120" x14ac:dyDescent="0.25">
      <c r="B191" s="13"/>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row>
    <row r="192" spans="2:120" x14ac:dyDescent="0.25">
      <c r="B192" s="13"/>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row>
    <row r="193" spans="2:120" x14ac:dyDescent="0.25">
      <c r="B193" s="13"/>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row>
    <row r="194" spans="2:120" x14ac:dyDescent="0.25">
      <c r="B194" s="13"/>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row>
    <row r="195" spans="2:120" x14ac:dyDescent="0.25">
      <c r="B195" s="13"/>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row>
    <row r="196" spans="2:120" x14ac:dyDescent="0.25">
      <c r="B196" s="13"/>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row>
    <row r="197" spans="2:120" x14ac:dyDescent="0.25">
      <c r="B197" s="13"/>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row>
    <row r="198" spans="2:120" x14ac:dyDescent="0.25">
      <c r="B198" s="13"/>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row>
    <row r="199" spans="2:120" x14ac:dyDescent="0.25">
      <c r="B199" s="13"/>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row>
    <row r="200" spans="2:120" x14ac:dyDescent="0.25">
      <c r="B200" s="13"/>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row>
    <row r="201" spans="2:120" x14ac:dyDescent="0.25">
      <c r="B201" s="13"/>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row>
    <row r="202" spans="2:120" x14ac:dyDescent="0.25">
      <c r="B202" s="13"/>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row>
    <row r="203" spans="2:120" x14ac:dyDescent="0.25">
      <c r="B203" s="13"/>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row>
    <row r="204" spans="2:120" x14ac:dyDescent="0.25">
      <c r="B204" s="13"/>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row>
    <row r="205" spans="2:120" x14ac:dyDescent="0.25">
      <c r="B205" s="13"/>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row>
    <row r="206" spans="2:120" x14ac:dyDescent="0.25">
      <c r="B206" s="13"/>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row>
    <row r="207" spans="2:120" x14ac:dyDescent="0.25">
      <c r="B207" s="13"/>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row>
    <row r="208" spans="2:120" x14ac:dyDescent="0.25">
      <c r="B208" s="13"/>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row>
    <row r="209" spans="2:120" x14ac:dyDescent="0.25">
      <c r="B209" s="13"/>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row>
    <row r="210" spans="2:120" x14ac:dyDescent="0.25">
      <c r="B210" s="13"/>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row>
    <row r="211" spans="2:120" x14ac:dyDescent="0.25">
      <c r="B211" s="13"/>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row>
    <row r="212" spans="2:120" x14ac:dyDescent="0.25">
      <c r="B212" s="13"/>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row>
    <row r="213" spans="2:120" x14ac:dyDescent="0.25">
      <c r="B213" s="13"/>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row>
    <row r="214" spans="2:120" x14ac:dyDescent="0.25">
      <c r="B214" s="13"/>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row>
    <row r="215" spans="2:120" x14ac:dyDescent="0.25">
      <c r="B215" s="13"/>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row>
    <row r="216" spans="2:120" x14ac:dyDescent="0.25">
      <c r="B216" s="13"/>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row>
    <row r="217" spans="2:120" x14ac:dyDescent="0.25">
      <c r="B217" s="13"/>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row>
    <row r="218" spans="2:120" x14ac:dyDescent="0.25">
      <c r="B218" s="13"/>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row>
    <row r="219" spans="2:120" x14ac:dyDescent="0.25">
      <c r="B219" s="13"/>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row>
    <row r="220" spans="2:120" x14ac:dyDescent="0.25">
      <c r="B220" s="13"/>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row>
    <row r="221" spans="2:120" x14ac:dyDescent="0.25">
      <c r="B221" s="13"/>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row>
    <row r="222" spans="2:120" x14ac:dyDescent="0.25">
      <c r="B222" s="13"/>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row>
    <row r="223" spans="2:120" x14ac:dyDescent="0.25">
      <c r="B223" s="13"/>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row>
    <row r="224" spans="2:120" x14ac:dyDescent="0.25">
      <c r="B224" s="13"/>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row>
    <row r="225" spans="2:120" x14ac:dyDescent="0.25">
      <c r="B225" s="13"/>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row>
    <row r="226" spans="2:120" x14ac:dyDescent="0.25">
      <c r="B226" s="13"/>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row>
    <row r="227" spans="2:120" x14ac:dyDescent="0.25">
      <c r="B227" s="13"/>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row>
    <row r="228" spans="2:120" x14ac:dyDescent="0.25">
      <c r="B228" s="13"/>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row>
    <row r="229" spans="2:120" x14ac:dyDescent="0.25">
      <c r="B229" s="13"/>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row>
    <row r="230" spans="2:120" x14ac:dyDescent="0.25">
      <c r="B230" s="13"/>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row>
    <row r="231" spans="2:120" x14ac:dyDescent="0.25">
      <c r="B231" s="13"/>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row>
    <row r="232" spans="2:120" x14ac:dyDescent="0.25">
      <c r="B232" s="13"/>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row>
    <row r="233" spans="2:120" x14ac:dyDescent="0.25">
      <c r="B233" s="13"/>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row>
    <row r="234" spans="2:120" x14ac:dyDescent="0.25">
      <c r="B234" s="13"/>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row>
    <row r="235" spans="2:120" x14ac:dyDescent="0.25">
      <c r="B235" s="13"/>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row>
    <row r="236" spans="2:120" x14ac:dyDescent="0.25">
      <c r="B236" s="13"/>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row>
    <row r="237" spans="2:120" x14ac:dyDescent="0.25">
      <c r="B237" s="13"/>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row>
    <row r="238" spans="2:120" x14ac:dyDescent="0.25">
      <c r="B238" s="13"/>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row>
    <row r="239" spans="2:120" x14ac:dyDescent="0.25">
      <c r="B239" s="13"/>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row>
    <row r="240" spans="2:120" x14ac:dyDescent="0.25">
      <c r="B240" s="13"/>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row>
    <row r="241" spans="2:120" x14ac:dyDescent="0.25">
      <c r="B241" s="13"/>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row>
    <row r="242" spans="2:120" x14ac:dyDescent="0.25">
      <c r="B242" s="13"/>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row>
    <row r="243" spans="2:120" x14ac:dyDescent="0.25">
      <c r="B243" s="13"/>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row>
    <row r="244" spans="2:120" x14ac:dyDescent="0.25">
      <c r="B244" s="13"/>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row>
    <row r="245" spans="2:120" x14ac:dyDescent="0.25">
      <c r="B245" s="13"/>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row>
    <row r="246" spans="2:120" x14ac:dyDescent="0.25">
      <c r="B246" s="13"/>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row>
    <row r="247" spans="2:120" x14ac:dyDescent="0.25">
      <c r="B247" s="13"/>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row>
    <row r="248" spans="2:120" x14ac:dyDescent="0.25">
      <c r="B248" s="13"/>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row>
    <row r="249" spans="2:120" x14ac:dyDescent="0.25">
      <c r="B249" s="13"/>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row>
    <row r="250" spans="2:120" x14ac:dyDescent="0.25">
      <c r="B250" s="13"/>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row>
    <row r="251" spans="2:120" x14ac:dyDescent="0.25">
      <c r="B251" s="13"/>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row>
    <row r="252" spans="2:120" x14ac:dyDescent="0.25">
      <c r="B252" s="13"/>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row>
    <row r="253" spans="2:120" x14ac:dyDescent="0.25">
      <c r="B253" s="13"/>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row>
    <row r="254" spans="2:120" x14ac:dyDescent="0.25">
      <c r="B254" s="13"/>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row>
    <row r="255" spans="2:120" x14ac:dyDescent="0.25">
      <c r="B255" s="13"/>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row>
    <row r="256" spans="2:120" x14ac:dyDescent="0.25">
      <c r="B256" s="13"/>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row>
    <row r="257" spans="2:120" x14ac:dyDescent="0.25">
      <c r="B257" s="13"/>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row>
    <row r="258" spans="2:120" x14ac:dyDescent="0.25">
      <c r="B258" s="13"/>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row>
    <row r="259" spans="2:120" x14ac:dyDescent="0.25">
      <c r="B259" s="13"/>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row>
    <row r="260" spans="2:120" x14ac:dyDescent="0.25">
      <c r="B260" s="13"/>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row>
    <row r="261" spans="2:120" x14ac:dyDescent="0.25">
      <c r="B261" s="13"/>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row>
    <row r="262" spans="2:120" x14ac:dyDescent="0.25">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row>
    <row r="263" spans="2:120" x14ac:dyDescent="0.25">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row>
    <row r="264" spans="2:120" x14ac:dyDescent="0.25">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row>
    <row r="265" spans="2:120" x14ac:dyDescent="0.25">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row>
    <row r="266" spans="2:120" x14ac:dyDescent="0.25">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row>
    <row r="267" spans="2:120" x14ac:dyDescent="0.25">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row>
    <row r="268" spans="2:120" x14ac:dyDescent="0.25">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row>
    <row r="269" spans="2:120" x14ac:dyDescent="0.25">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row>
    <row r="270" spans="2:120" x14ac:dyDescent="0.25">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row>
    <row r="271" spans="2:120" x14ac:dyDescent="0.25">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row>
    <row r="272" spans="2:120" x14ac:dyDescent="0.25">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row>
    <row r="273" spans="2:120" x14ac:dyDescent="0.25">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row>
    <row r="274" spans="2:120" x14ac:dyDescent="0.25">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row>
    <row r="275" spans="2:120" x14ac:dyDescent="0.25">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row>
    <row r="276" spans="2:120" x14ac:dyDescent="0.25">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row>
    <row r="277" spans="2:120" x14ac:dyDescent="0.25">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row>
    <row r="278" spans="2:120" x14ac:dyDescent="0.25">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row>
    <row r="279" spans="2:120" x14ac:dyDescent="0.25">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row>
    <row r="280" spans="2:120" x14ac:dyDescent="0.25">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row>
    <row r="281" spans="2:120" x14ac:dyDescent="0.25">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row>
    <row r="282" spans="2:120" x14ac:dyDescent="0.25">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row>
    <row r="283" spans="2:120" x14ac:dyDescent="0.25">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row>
    <row r="284" spans="2:120" x14ac:dyDescent="0.25">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row>
    <row r="285" spans="2:120" x14ac:dyDescent="0.25">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row>
    <row r="286" spans="2:120" x14ac:dyDescent="0.25">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row>
    <row r="287" spans="2:120" x14ac:dyDescent="0.25">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row>
    <row r="288" spans="2:120" x14ac:dyDescent="0.25">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row>
    <row r="289" spans="2:120" x14ac:dyDescent="0.25">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row>
    <row r="290" spans="2:120" x14ac:dyDescent="0.25">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row>
    <row r="291" spans="2:120" x14ac:dyDescent="0.25">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row>
    <row r="292" spans="2:120" x14ac:dyDescent="0.25">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row>
    <row r="293" spans="2:120" x14ac:dyDescent="0.25">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row>
    <row r="294" spans="2:120" x14ac:dyDescent="0.25">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row>
    <row r="295" spans="2:120" x14ac:dyDescent="0.25">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row>
    <row r="296" spans="2:120" x14ac:dyDescent="0.25">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row>
    <row r="297" spans="2:120" x14ac:dyDescent="0.25">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row>
    <row r="298" spans="2:120" x14ac:dyDescent="0.25">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row>
    <row r="299" spans="2:120" x14ac:dyDescent="0.25">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row>
    <row r="300" spans="2:120" x14ac:dyDescent="0.25">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row>
    <row r="301" spans="2:120" x14ac:dyDescent="0.25">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row>
    <row r="302" spans="2:120" x14ac:dyDescent="0.25">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row>
    <row r="303" spans="2:120" x14ac:dyDescent="0.25">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row>
    <row r="304" spans="2:120" x14ac:dyDescent="0.25">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row>
    <row r="305" spans="2:120" x14ac:dyDescent="0.25">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row>
    <row r="306" spans="2:120" x14ac:dyDescent="0.25">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row>
    <row r="307" spans="2:120" x14ac:dyDescent="0.25">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row>
    <row r="308" spans="2:120" x14ac:dyDescent="0.25">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c r="CH308" s="10"/>
      <c r="CI308" s="10"/>
      <c r="CJ308" s="10"/>
      <c r="CK308" s="10"/>
      <c r="CL308" s="10"/>
      <c r="CM308" s="10"/>
      <c r="CN308" s="10"/>
      <c r="CO308" s="10"/>
      <c r="CP308" s="10"/>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c r="DO308" s="10"/>
      <c r="DP308" s="10"/>
    </row>
    <row r="309" spans="2:120" x14ac:dyDescent="0.25">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row>
    <row r="310" spans="2:120" x14ac:dyDescent="0.25">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row>
    <row r="311" spans="2:120" x14ac:dyDescent="0.25">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row>
    <row r="312" spans="2:120" x14ac:dyDescent="0.25">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c r="CP312" s="1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c r="DO312" s="10"/>
      <c r="DP312" s="10"/>
    </row>
    <row r="313" spans="2:120" x14ac:dyDescent="0.25">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row>
    <row r="314" spans="2:120" x14ac:dyDescent="0.25">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row>
    <row r="315" spans="2:120" x14ac:dyDescent="0.25">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row>
    <row r="316" spans="2:120" x14ac:dyDescent="0.25">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10"/>
      <c r="CD316" s="10"/>
      <c r="CE316" s="10"/>
      <c r="CF316" s="10"/>
      <c r="CG316" s="10"/>
      <c r="CH316" s="10"/>
      <c r="CI316" s="10"/>
      <c r="CJ316" s="10"/>
      <c r="CK316" s="10"/>
      <c r="CL316" s="10"/>
      <c r="CM316" s="10"/>
      <c r="CN316" s="10"/>
      <c r="CO316" s="10"/>
      <c r="CP316" s="10"/>
      <c r="CQ316" s="10"/>
      <c r="CR316" s="10"/>
      <c r="CS316" s="10"/>
      <c r="CT316" s="10"/>
      <c r="CU316" s="10"/>
      <c r="CV316" s="10"/>
      <c r="CW316" s="10"/>
      <c r="CX316" s="10"/>
      <c r="CY316" s="10"/>
      <c r="CZ316" s="10"/>
      <c r="DA316" s="10"/>
      <c r="DB316" s="10"/>
      <c r="DC316" s="10"/>
      <c r="DD316" s="10"/>
      <c r="DE316" s="10"/>
      <c r="DF316" s="10"/>
      <c r="DG316" s="10"/>
      <c r="DH316" s="10"/>
      <c r="DI316" s="10"/>
      <c r="DJ316" s="10"/>
      <c r="DK316" s="10"/>
      <c r="DL316" s="10"/>
      <c r="DM316" s="10"/>
      <c r="DN316" s="10"/>
      <c r="DO316" s="10"/>
      <c r="DP316" s="10"/>
    </row>
    <row r="317" spans="2:120" x14ac:dyDescent="0.25">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row>
    <row r="318" spans="2:120" x14ac:dyDescent="0.25">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row>
    <row r="319" spans="2:120" x14ac:dyDescent="0.25">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10"/>
      <c r="CD319" s="10"/>
      <c r="CE319" s="10"/>
      <c r="CF319" s="10"/>
      <c r="CG319" s="10"/>
      <c r="CH319" s="10"/>
      <c r="CI319" s="10"/>
      <c r="CJ319" s="10"/>
      <c r="CK319" s="10"/>
      <c r="CL319" s="10"/>
      <c r="CM319" s="10"/>
      <c r="CN319" s="10"/>
      <c r="CO319" s="10"/>
      <c r="CP319" s="10"/>
      <c r="CQ319" s="10"/>
      <c r="CR319" s="10"/>
      <c r="CS319" s="10"/>
      <c r="CT319" s="10"/>
      <c r="CU319" s="10"/>
      <c r="CV319" s="10"/>
      <c r="CW319" s="10"/>
      <c r="CX319" s="10"/>
      <c r="CY319" s="10"/>
      <c r="CZ319" s="10"/>
      <c r="DA319" s="10"/>
      <c r="DB319" s="10"/>
      <c r="DC319" s="10"/>
      <c r="DD319" s="10"/>
      <c r="DE319" s="10"/>
      <c r="DF319" s="10"/>
      <c r="DG319" s="10"/>
      <c r="DH319" s="10"/>
      <c r="DI319" s="10"/>
      <c r="DJ319" s="10"/>
      <c r="DK319" s="10"/>
      <c r="DL319" s="10"/>
      <c r="DM319" s="10"/>
      <c r="DN319" s="10"/>
      <c r="DO319" s="10"/>
      <c r="DP319" s="10"/>
    </row>
    <row r="320" spans="2:120" x14ac:dyDescent="0.25">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10"/>
      <c r="CD320" s="10"/>
      <c r="CE320" s="10"/>
      <c r="CF320" s="10"/>
      <c r="CG320" s="10"/>
      <c r="CH320" s="10"/>
      <c r="CI320" s="10"/>
      <c r="CJ320" s="10"/>
      <c r="CK320" s="10"/>
      <c r="CL320" s="10"/>
      <c r="CM320" s="10"/>
      <c r="CN320" s="10"/>
      <c r="CO320" s="10"/>
      <c r="CP320" s="10"/>
      <c r="CQ320" s="10"/>
      <c r="CR320" s="10"/>
      <c r="CS320" s="10"/>
      <c r="CT320" s="10"/>
      <c r="CU320" s="10"/>
      <c r="CV320" s="10"/>
      <c r="CW320" s="10"/>
      <c r="CX320" s="10"/>
      <c r="CY320" s="10"/>
      <c r="CZ320" s="10"/>
      <c r="DA320" s="10"/>
      <c r="DB320" s="10"/>
      <c r="DC320" s="10"/>
      <c r="DD320" s="10"/>
      <c r="DE320" s="10"/>
      <c r="DF320" s="10"/>
      <c r="DG320" s="10"/>
      <c r="DH320" s="10"/>
      <c r="DI320" s="10"/>
      <c r="DJ320" s="10"/>
      <c r="DK320" s="10"/>
      <c r="DL320" s="10"/>
      <c r="DM320" s="10"/>
      <c r="DN320" s="10"/>
      <c r="DO320" s="10"/>
      <c r="DP320" s="10"/>
    </row>
    <row r="321" spans="2:120" x14ac:dyDescent="0.25">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10"/>
      <c r="CD321" s="10"/>
      <c r="CE321" s="10"/>
      <c r="CF321" s="10"/>
      <c r="CG321" s="10"/>
      <c r="CH321" s="10"/>
      <c r="CI321" s="10"/>
      <c r="CJ321" s="10"/>
      <c r="CK321" s="10"/>
      <c r="CL321" s="10"/>
      <c r="CM321" s="10"/>
      <c r="CN321" s="10"/>
      <c r="CO321" s="10"/>
      <c r="CP321" s="10"/>
      <c r="CQ321" s="10"/>
      <c r="CR321" s="10"/>
      <c r="CS321" s="10"/>
      <c r="CT321" s="10"/>
      <c r="CU321" s="10"/>
      <c r="CV321" s="10"/>
      <c r="CW321" s="10"/>
      <c r="CX321" s="10"/>
      <c r="CY321" s="10"/>
      <c r="CZ321" s="10"/>
      <c r="DA321" s="10"/>
      <c r="DB321" s="10"/>
      <c r="DC321" s="10"/>
      <c r="DD321" s="10"/>
      <c r="DE321" s="10"/>
      <c r="DF321" s="10"/>
      <c r="DG321" s="10"/>
      <c r="DH321" s="10"/>
      <c r="DI321" s="10"/>
      <c r="DJ321" s="10"/>
      <c r="DK321" s="10"/>
      <c r="DL321" s="10"/>
      <c r="DM321" s="10"/>
      <c r="DN321" s="10"/>
      <c r="DO321" s="10"/>
      <c r="DP321" s="10"/>
    </row>
    <row r="322" spans="2:120" x14ac:dyDescent="0.25">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row>
    <row r="323" spans="2:120" x14ac:dyDescent="0.25">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10"/>
      <c r="CD323" s="10"/>
      <c r="CE323" s="10"/>
      <c r="CF323" s="10"/>
      <c r="CG323" s="10"/>
      <c r="CH323" s="10"/>
      <c r="CI323" s="10"/>
      <c r="CJ323" s="10"/>
      <c r="CK323" s="10"/>
      <c r="CL323" s="10"/>
      <c r="CM323" s="10"/>
      <c r="CN323" s="10"/>
      <c r="CO323" s="10"/>
      <c r="CP323" s="10"/>
      <c r="CQ323" s="10"/>
      <c r="CR323" s="10"/>
      <c r="CS323" s="10"/>
      <c r="CT323" s="10"/>
      <c r="CU323" s="10"/>
      <c r="CV323" s="10"/>
      <c r="CW323" s="10"/>
      <c r="CX323" s="10"/>
      <c r="CY323" s="10"/>
      <c r="CZ323" s="10"/>
      <c r="DA323" s="10"/>
      <c r="DB323" s="10"/>
      <c r="DC323" s="10"/>
      <c r="DD323" s="10"/>
      <c r="DE323" s="10"/>
      <c r="DF323" s="10"/>
      <c r="DG323" s="10"/>
      <c r="DH323" s="10"/>
      <c r="DI323" s="10"/>
      <c r="DJ323" s="10"/>
      <c r="DK323" s="10"/>
      <c r="DL323" s="10"/>
      <c r="DM323" s="10"/>
      <c r="DN323" s="10"/>
      <c r="DO323" s="10"/>
      <c r="DP323" s="10"/>
    </row>
    <row r="324" spans="2:120" x14ac:dyDescent="0.25">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10"/>
      <c r="CD324" s="10"/>
      <c r="CE324" s="10"/>
      <c r="CF324" s="10"/>
      <c r="CG324" s="10"/>
      <c r="CH324" s="10"/>
      <c r="CI324" s="10"/>
      <c r="CJ324" s="10"/>
      <c r="CK324" s="10"/>
      <c r="CL324" s="10"/>
      <c r="CM324" s="10"/>
      <c r="CN324" s="10"/>
      <c r="CO324" s="10"/>
      <c r="CP324" s="10"/>
      <c r="CQ324" s="10"/>
      <c r="CR324" s="10"/>
      <c r="CS324" s="10"/>
      <c r="CT324" s="10"/>
      <c r="CU324" s="10"/>
      <c r="CV324" s="10"/>
      <c r="CW324" s="10"/>
      <c r="CX324" s="10"/>
      <c r="CY324" s="10"/>
      <c r="CZ324" s="10"/>
      <c r="DA324" s="10"/>
      <c r="DB324" s="10"/>
      <c r="DC324" s="10"/>
      <c r="DD324" s="10"/>
      <c r="DE324" s="10"/>
      <c r="DF324" s="10"/>
      <c r="DG324" s="10"/>
      <c r="DH324" s="10"/>
      <c r="DI324" s="10"/>
      <c r="DJ324" s="10"/>
      <c r="DK324" s="10"/>
      <c r="DL324" s="10"/>
      <c r="DM324" s="10"/>
      <c r="DN324" s="10"/>
      <c r="DO324" s="10"/>
      <c r="DP324" s="10"/>
    </row>
    <row r="325" spans="2:120" x14ac:dyDescent="0.25">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c r="BZ325" s="10"/>
      <c r="CA325" s="10"/>
      <c r="CB325" s="10"/>
      <c r="CC325" s="10"/>
      <c r="CD325" s="10"/>
      <c r="CE325" s="10"/>
      <c r="CF325" s="10"/>
      <c r="CG325" s="10"/>
      <c r="CH325" s="10"/>
      <c r="CI325" s="10"/>
      <c r="CJ325" s="10"/>
      <c r="CK325" s="10"/>
      <c r="CL325" s="10"/>
      <c r="CM325" s="10"/>
      <c r="CN325" s="10"/>
      <c r="CO325" s="10"/>
      <c r="CP325" s="10"/>
      <c r="CQ325" s="10"/>
      <c r="CR325" s="10"/>
      <c r="CS325" s="10"/>
      <c r="CT325" s="10"/>
      <c r="CU325" s="10"/>
      <c r="CV325" s="10"/>
      <c r="CW325" s="10"/>
      <c r="CX325" s="10"/>
      <c r="CY325" s="10"/>
      <c r="CZ325" s="10"/>
      <c r="DA325" s="10"/>
      <c r="DB325" s="10"/>
      <c r="DC325" s="10"/>
      <c r="DD325" s="10"/>
      <c r="DE325" s="10"/>
      <c r="DF325" s="10"/>
      <c r="DG325" s="10"/>
      <c r="DH325" s="10"/>
      <c r="DI325" s="10"/>
      <c r="DJ325" s="10"/>
      <c r="DK325" s="10"/>
      <c r="DL325" s="10"/>
      <c r="DM325" s="10"/>
      <c r="DN325" s="10"/>
      <c r="DO325" s="10"/>
      <c r="DP325" s="10"/>
    </row>
    <row r="326" spans="2:120" x14ac:dyDescent="0.25">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10"/>
      <c r="CD326" s="10"/>
      <c r="CE326" s="10"/>
      <c r="CF326" s="10"/>
      <c r="CG326" s="10"/>
      <c r="CH326" s="10"/>
      <c r="CI326" s="10"/>
      <c r="CJ326" s="10"/>
      <c r="CK326" s="10"/>
      <c r="CL326" s="10"/>
      <c r="CM326" s="10"/>
      <c r="CN326" s="10"/>
      <c r="CO326" s="10"/>
      <c r="CP326" s="10"/>
      <c r="CQ326" s="10"/>
      <c r="CR326" s="10"/>
      <c r="CS326" s="10"/>
      <c r="CT326" s="10"/>
      <c r="CU326" s="10"/>
      <c r="CV326" s="10"/>
      <c r="CW326" s="10"/>
      <c r="CX326" s="10"/>
      <c r="CY326" s="10"/>
      <c r="CZ326" s="10"/>
      <c r="DA326" s="10"/>
      <c r="DB326" s="10"/>
      <c r="DC326" s="10"/>
      <c r="DD326" s="10"/>
      <c r="DE326" s="10"/>
      <c r="DF326" s="10"/>
      <c r="DG326" s="10"/>
      <c r="DH326" s="10"/>
      <c r="DI326" s="10"/>
      <c r="DJ326" s="10"/>
      <c r="DK326" s="10"/>
      <c r="DL326" s="10"/>
      <c r="DM326" s="10"/>
      <c r="DN326" s="10"/>
      <c r="DO326" s="10"/>
      <c r="DP326" s="10"/>
    </row>
    <row r="327" spans="2:120" x14ac:dyDescent="0.25">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10"/>
      <c r="CD327" s="10"/>
      <c r="CE327" s="10"/>
      <c r="CF327" s="10"/>
      <c r="CG327" s="10"/>
      <c r="CH327" s="10"/>
      <c r="CI327" s="10"/>
      <c r="CJ327" s="10"/>
      <c r="CK327" s="10"/>
      <c r="CL327" s="10"/>
      <c r="CM327" s="10"/>
      <c r="CN327" s="10"/>
      <c r="CO327" s="10"/>
      <c r="CP327" s="10"/>
      <c r="CQ327" s="10"/>
      <c r="CR327" s="10"/>
      <c r="CS327" s="10"/>
      <c r="CT327" s="10"/>
      <c r="CU327" s="10"/>
      <c r="CV327" s="10"/>
      <c r="CW327" s="10"/>
      <c r="CX327" s="10"/>
      <c r="CY327" s="10"/>
      <c r="CZ327" s="10"/>
      <c r="DA327" s="10"/>
      <c r="DB327" s="10"/>
      <c r="DC327" s="10"/>
      <c r="DD327" s="10"/>
      <c r="DE327" s="10"/>
      <c r="DF327" s="10"/>
      <c r="DG327" s="10"/>
      <c r="DH327" s="10"/>
      <c r="DI327" s="10"/>
      <c r="DJ327" s="10"/>
      <c r="DK327" s="10"/>
      <c r="DL327" s="10"/>
      <c r="DM327" s="10"/>
      <c r="DN327" s="10"/>
      <c r="DO327" s="10"/>
      <c r="DP327" s="10"/>
    </row>
    <row r="328" spans="2:120" x14ac:dyDescent="0.25">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10"/>
      <c r="CD328" s="10"/>
      <c r="CE328" s="10"/>
      <c r="CF328" s="10"/>
      <c r="CG328" s="10"/>
      <c r="CH328" s="10"/>
      <c r="CI328" s="10"/>
      <c r="CJ328" s="10"/>
      <c r="CK328" s="10"/>
      <c r="CL328" s="10"/>
      <c r="CM328" s="10"/>
      <c r="CN328" s="10"/>
      <c r="CO328" s="10"/>
      <c r="CP328" s="10"/>
      <c r="CQ328" s="10"/>
      <c r="CR328" s="10"/>
      <c r="CS328" s="10"/>
      <c r="CT328" s="10"/>
      <c r="CU328" s="10"/>
      <c r="CV328" s="10"/>
      <c r="CW328" s="10"/>
      <c r="CX328" s="10"/>
      <c r="CY328" s="10"/>
      <c r="CZ328" s="10"/>
      <c r="DA328" s="10"/>
      <c r="DB328" s="10"/>
      <c r="DC328" s="10"/>
      <c r="DD328" s="10"/>
      <c r="DE328" s="10"/>
      <c r="DF328" s="10"/>
      <c r="DG328" s="10"/>
      <c r="DH328" s="10"/>
      <c r="DI328" s="10"/>
      <c r="DJ328" s="10"/>
      <c r="DK328" s="10"/>
      <c r="DL328" s="10"/>
      <c r="DM328" s="10"/>
      <c r="DN328" s="10"/>
      <c r="DO328" s="10"/>
      <c r="DP328" s="10"/>
    </row>
    <row r="329" spans="2:120" x14ac:dyDescent="0.25">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10"/>
      <c r="CD329" s="10"/>
      <c r="CE329" s="10"/>
      <c r="CF329" s="10"/>
      <c r="CG329" s="10"/>
      <c r="CH329" s="10"/>
      <c r="CI329" s="10"/>
      <c r="CJ329" s="10"/>
      <c r="CK329" s="10"/>
      <c r="CL329" s="10"/>
      <c r="CM329" s="10"/>
      <c r="CN329" s="10"/>
      <c r="CO329" s="10"/>
      <c r="CP329" s="10"/>
      <c r="CQ329" s="10"/>
      <c r="CR329" s="10"/>
      <c r="CS329" s="10"/>
      <c r="CT329" s="10"/>
      <c r="CU329" s="10"/>
      <c r="CV329" s="10"/>
      <c r="CW329" s="10"/>
      <c r="CX329" s="10"/>
      <c r="CY329" s="10"/>
      <c r="CZ329" s="10"/>
      <c r="DA329" s="10"/>
      <c r="DB329" s="10"/>
      <c r="DC329" s="10"/>
      <c r="DD329" s="10"/>
      <c r="DE329" s="10"/>
      <c r="DF329" s="10"/>
      <c r="DG329" s="10"/>
      <c r="DH329" s="10"/>
      <c r="DI329" s="10"/>
      <c r="DJ329" s="10"/>
      <c r="DK329" s="10"/>
      <c r="DL329" s="10"/>
      <c r="DM329" s="10"/>
      <c r="DN329" s="10"/>
      <c r="DO329" s="10"/>
      <c r="DP329" s="10"/>
    </row>
    <row r="330" spans="2:120" x14ac:dyDescent="0.25">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10"/>
      <c r="CD330" s="10"/>
      <c r="CE330" s="10"/>
      <c r="CF330" s="10"/>
      <c r="CG330" s="10"/>
      <c r="CH330" s="10"/>
      <c r="CI330" s="10"/>
      <c r="CJ330" s="10"/>
      <c r="CK330" s="10"/>
      <c r="CL330" s="10"/>
      <c r="CM330" s="10"/>
      <c r="CN330" s="10"/>
      <c r="CO330" s="10"/>
      <c r="CP330" s="10"/>
      <c r="CQ330" s="10"/>
      <c r="CR330" s="10"/>
      <c r="CS330" s="10"/>
      <c r="CT330" s="10"/>
      <c r="CU330" s="10"/>
      <c r="CV330" s="10"/>
      <c r="CW330" s="10"/>
      <c r="CX330" s="10"/>
      <c r="CY330" s="10"/>
      <c r="CZ330" s="10"/>
      <c r="DA330" s="10"/>
      <c r="DB330" s="10"/>
      <c r="DC330" s="10"/>
      <c r="DD330" s="10"/>
      <c r="DE330" s="10"/>
      <c r="DF330" s="10"/>
      <c r="DG330" s="10"/>
      <c r="DH330" s="10"/>
      <c r="DI330" s="10"/>
      <c r="DJ330" s="10"/>
      <c r="DK330" s="10"/>
      <c r="DL330" s="10"/>
      <c r="DM330" s="10"/>
      <c r="DN330" s="10"/>
      <c r="DO330" s="10"/>
      <c r="DP330" s="10"/>
    </row>
    <row r="331" spans="2:120" x14ac:dyDescent="0.25">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10"/>
      <c r="CD331" s="10"/>
      <c r="CE331" s="10"/>
      <c r="CF331" s="10"/>
      <c r="CG331" s="10"/>
      <c r="CH331" s="10"/>
      <c r="CI331" s="10"/>
      <c r="CJ331" s="10"/>
      <c r="CK331" s="10"/>
      <c r="CL331" s="10"/>
      <c r="CM331" s="10"/>
      <c r="CN331" s="10"/>
      <c r="CO331" s="10"/>
      <c r="CP331" s="10"/>
      <c r="CQ331" s="10"/>
      <c r="CR331" s="10"/>
      <c r="CS331" s="10"/>
      <c r="CT331" s="10"/>
      <c r="CU331" s="10"/>
      <c r="CV331" s="10"/>
      <c r="CW331" s="10"/>
      <c r="CX331" s="10"/>
      <c r="CY331" s="10"/>
      <c r="CZ331" s="10"/>
      <c r="DA331" s="10"/>
      <c r="DB331" s="10"/>
      <c r="DC331" s="10"/>
      <c r="DD331" s="10"/>
      <c r="DE331" s="10"/>
      <c r="DF331" s="10"/>
      <c r="DG331" s="10"/>
      <c r="DH331" s="10"/>
      <c r="DI331" s="10"/>
      <c r="DJ331" s="10"/>
      <c r="DK331" s="10"/>
      <c r="DL331" s="10"/>
      <c r="DM331" s="10"/>
      <c r="DN331" s="10"/>
      <c r="DO331" s="10"/>
      <c r="DP331" s="10"/>
    </row>
    <row r="332" spans="2:120" x14ac:dyDescent="0.25">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10"/>
      <c r="CD332" s="10"/>
      <c r="CE332" s="10"/>
      <c r="CF332" s="10"/>
      <c r="CG332" s="10"/>
      <c r="CH332" s="10"/>
      <c r="CI332" s="10"/>
      <c r="CJ332" s="10"/>
      <c r="CK332" s="10"/>
      <c r="CL332" s="10"/>
      <c r="CM332" s="10"/>
      <c r="CN332" s="10"/>
      <c r="CO332" s="10"/>
      <c r="CP332" s="10"/>
      <c r="CQ332" s="10"/>
      <c r="CR332" s="10"/>
      <c r="CS332" s="10"/>
      <c r="CT332" s="10"/>
      <c r="CU332" s="10"/>
      <c r="CV332" s="10"/>
      <c r="CW332" s="10"/>
      <c r="CX332" s="10"/>
      <c r="CY332" s="10"/>
      <c r="CZ332" s="10"/>
      <c r="DA332" s="10"/>
      <c r="DB332" s="10"/>
      <c r="DC332" s="10"/>
      <c r="DD332" s="10"/>
      <c r="DE332" s="10"/>
      <c r="DF332" s="10"/>
      <c r="DG332" s="10"/>
      <c r="DH332" s="10"/>
      <c r="DI332" s="10"/>
      <c r="DJ332" s="10"/>
      <c r="DK332" s="10"/>
      <c r="DL332" s="10"/>
      <c r="DM332" s="10"/>
      <c r="DN332" s="10"/>
      <c r="DO332" s="10"/>
      <c r="DP332" s="10"/>
    </row>
    <row r="333" spans="2:120" x14ac:dyDescent="0.25">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10"/>
      <c r="CD333" s="10"/>
      <c r="CE333" s="10"/>
      <c r="CF333" s="10"/>
      <c r="CG333" s="10"/>
      <c r="CH333" s="10"/>
      <c r="CI333" s="10"/>
      <c r="CJ333" s="10"/>
      <c r="CK333" s="10"/>
      <c r="CL333" s="10"/>
      <c r="CM333" s="10"/>
      <c r="CN333" s="10"/>
      <c r="CO333" s="10"/>
      <c r="CP333" s="10"/>
      <c r="CQ333" s="10"/>
      <c r="CR333" s="10"/>
      <c r="CS333" s="10"/>
      <c r="CT333" s="10"/>
      <c r="CU333" s="10"/>
      <c r="CV333" s="10"/>
      <c r="CW333" s="10"/>
      <c r="CX333" s="10"/>
      <c r="CY333" s="10"/>
      <c r="CZ333" s="10"/>
      <c r="DA333" s="10"/>
      <c r="DB333" s="10"/>
      <c r="DC333" s="10"/>
      <c r="DD333" s="10"/>
      <c r="DE333" s="10"/>
      <c r="DF333" s="10"/>
      <c r="DG333" s="10"/>
      <c r="DH333" s="10"/>
      <c r="DI333" s="10"/>
      <c r="DJ333" s="10"/>
      <c r="DK333" s="10"/>
      <c r="DL333" s="10"/>
      <c r="DM333" s="10"/>
      <c r="DN333" s="10"/>
      <c r="DO333" s="10"/>
      <c r="DP333" s="10"/>
    </row>
    <row r="334" spans="2:120" x14ac:dyDescent="0.25">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row>
    <row r="335" spans="2:120" x14ac:dyDescent="0.25">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10"/>
      <c r="CD335" s="10"/>
      <c r="CE335" s="10"/>
      <c r="CF335" s="10"/>
      <c r="CG335" s="10"/>
      <c r="CH335" s="10"/>
      <c r="CI335" s="10"/>
      <c r="CJ335" s="10"/>
      <c r="CK335" s="10"/>
      <c r="CL335" s="10"/>
      <c r="CM335" s="10"/>
      <c r="CN335" s="10"/>
      <c r="CO335" s="10"/>
      <c r="CP335" s="10"/>
      <c r="CQ335" s="10"/>
      <c r="CR335" s="10"/>
      <c r="CS335" s="10"/>
      <c r="CT335" s="10"/>
      <c r="CU335" s="10"/>
      <c r="CV335" s="10"/>
      <c r="CW335" s="10"/>
      <c r="CX335" s="10"/>
      <c r="CY335" s="10"/>
      <c r="CZ335" s="10"/>
      <c r="DA335" s="10"/>
      <c r="DB335" s="10"/>
      <c r="DC335" s="10"/>
      <c r="DD335" s="10"/>
      <c r="DE335" s="10"/>
      <c r="DF335" s="10"/>
      <c r="DG335" s="10"/>
      <c r="DH335" s="10"/>
      <c r="DI335" s="10"/>
      <c r="DJ335" s="10"/>
      <c r="DK335" s="10"/>
      <c r="DL335" s="10"/>
      <c r="DM335" s="10"/>
      <c r="DN335" s="10"/>
      <c r="DO335" s="10"/>
      <c r="DP335" s="10"/>
    </row>
    <row r="336" spans="2:120" x14ac:dyDescent="0.25">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10"/>
      <c r="CD336" s="10"/>
      <c r="CE336" s="10"/>
      <c r="CF336" s="10"/>
      <c r="CG336" s="10"/>
      <c r="CH336" s="10"/>
      <c r="CI336" s="10"/>
      <c r="CJ336" s="10"/>
      <c r="CK336" s="10"/>
      <c r="CL336" s="10"/>
      <c r="CM336" s="10"/>
      <c r="CN336" s="10"/>
      <c r="CO336" s="10"/>
      <c r="CP336" s="10"/>
      <c r="CQ336" s="10"/>
      <c r="CR336" s="10"/>
      <c r="CS336" s="10"/>
      <c r="CT336" s="10"/>
      <c r="CU336" s="10"/>
      <c r="CV336" s="10"/>
      <c r="CW336" s="10"/>
      <c r="CX336" s="10"/>
      <c r="CY336" s="10"/>
      <c r="CZ336" s="10"/>
      <c r="DA336" s="10"/>
      <c r="DB336" s="10"/>
      <c r="DC336" s="10"/>
      <c r="DD336" s="10"/>
      <c r="DE336" s="10"/>
      <c r="DF336" s="10"/>
      <c r="DG336" s="10"/>
      <c r="DH336" s="10"/>
      <c r="DI336" s="10"/>
      <c r="DJ336" s="10"/>
      <c r="DK336" s="10"/>
      <c r="DL336" s="10"/>
      <c r="DM336" s="10"/>
      <c r="DN336" s="10"/>
      <c r="DO336" s="10"/>
      <c r="DP336" s="10"/>
    </row>
    <row r="337" spans="2:120" x14ac:dyDescent="0.25">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10"/>
      <c r="CD337" s="10"/>
      <c r="CE337" s="10"/>
      <c r="CF337" s="10"/>
      <c r="CG337" s="10"/>
      <c r="CH337" s="10"/>
      <c r="CI337" s="10"/>
      <c r="CJ337" s="10"/>
      <c r="CK337" s="10"/>
      <c r="CL337" s="10"/>
      <c r="CM337" s="10"/>
      <c r="CN337" s="10"/>
      <c r="CO337" s="10"/>
      <c r="CP337" s="10"/>
      <c r="CQ337" s="10"/>
      <c r="CR337" s="10"/>
      <c r="CS337" s="10"/>
      <c r="CT337" s="10"/>
      <c r="CU337" s="10"/>
      <c r="CV337" s="10"/>
      <c r="CW337" s="10"/>
      <c r="CX337" s="10"/>
      <c r="CY337" s="10"/>
      <c r="CZ337" s="10"/>
      <c r="DA337" s="10"/>
      <c r="DB337" s="10"/>
      <c r="DC337" s="10"/>
      <c r="DD337" s="10"/>
      <c r="DE337" s="10"/>
      <c r="DF337" s="10"/>
      <c r="DG337" s="10"/>
      <c r="DH337" s="10"/>
      <c r="DI337" s="10"/>
      <c r="DJ337" s="10"/>
      <c r="DK337" s="10"/>
      <c r="DL337" s="10"/>
      <c r="DM337" s="10"/>
      <c r="DN337" s="10"/>
      <c r="DO337" s="10"/>
      <c r="DP337" s="10"/>
    </row>
    <row r="338" spans="2:120" x14ac:dyDescent="0.25">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10"/>
      <c r="CD338" s="10"/>
      <c r="CE338" s="10"/>
      <c r="CF338" s="10"/>
      <c r="CG338" s="10"/>
      <c r="CH338" s="10"/>
      <c r="CI338" s="10"/>
      <c r="CJ338" s="10"/>
      <c r="CK338" s="10"/>
      <c r="CL338" s="10"/>
      <c r="CM338" s="10"/>
      <c r="CN338" s="10"/>
      <c r="CO338" s="10"/>
      <c r="CP338" s="10"/>
      <c r="CQ338" s="10"/>
      <c r="CR338" s="10"/>
      <c r="CS338" s="10"/>
      <c r="CT338" s="10"/>
      <c r="CU338" s="10"/>
      <c r="CV338" s="10"/>
      <c r="CW338" s="10"/>
      <c r="CX338" s="10"/>
      <c r="CY338" s="10"/>
      <c r="CZ338" s="10"/>
      <c r="DA338" s="10"/>
      <c r="DB338" s="10"/>
      <c r="DC338" s="10"/>
      <c r="DD338" s="10"/>
      <c r="DE338" s="10"/>
      <c r="DF338" s="10"/>
      <c r="DG338" s="10"/>
      <c r="DH338" s="10"/>
      <c r="DI338" s="10"/>
      <c r="DJ338" s="10"/>
      <c r="DK338" s="10"/>
      <c r="DL338" s="10"/>
      <c r="DM338" s="10"/>
      <c r="DN338" s="10"/>
      <c r="DO338" s="10"/>
      <c r="DP338" s="10"/>
    </row>
    <row r="339" spans="2:120" x14ac:dyDescent="0.25">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10"/>
      <c r="CD339" s="10"/>
      <c r="CE339" s="10"/>
      <c r="CF339" s="10"/>
      <c r="CG339" s="10"/>
      <c r="CH339" s="10"/>
      <c r="CI339" s="10"/>
      <c r="CJ339" s="10"/>
      <c r="CK339" s="10"/>
      <c r="CL339" s="10"/>
      <c r="CM339" s="10"/>
      <c r="CN339" s="10"/>
      <c r="CO339" s="10"/>
      <c r="CP339" s="10"/>
      <c r="CQ339" s="10"/>
      <c r="CR339" s="10"/>
      <c r="CS339" s="10"/>
      <c r="CT339" s="10"/>
      <c r="CU339" s="10"/>
      <c r="CV339" s="10"/>
      <c r="CW339" s="10"/>
      <c r="CX339" s="10"/>
      <c r="CY339" s="10"/>
      <c r="CZ339" s="10"/>
      <c r="DA339" s="10"/>
      <c r="DB339" s="10"/>
      <c r="DC339" s="10"/>
      <c r="DD339" s="10"/>
      <c r="DE339" s="10"/>
      <c r="DF339" s="10"/>
      <c r="DG339" s="10"/>
      <c r="DH339" s="10"/>
      <c r="DI339" s="10"/>
      <c r="DJ339" s="10"/>
      <c r="DK339" s="10"/>
      <c r="DL339" s="10"/>
      <c r="DM339" s="10"/>
      <c r="DN339" s="10"/>
      <c r="DO339" s="10"/>
      <c r="DP339" s="10"/>
    </row>
    <row r="340" spans="2:120" x14ac:dyDescent="0.25">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10"/>
      <c r="CD340" s="10"/>
      <c r="CE340" s="10"/>
      <c r="CF340" s="10"/>
      <c r="CG340" s="10"/>
      <c r="CH340" s="10"/>
      <c r="CI340" s="10"/>
      <c r="CJ340" s="10"/>
      <c r="CK340" s="10"/>
      <c r="CL340" s="10"/>
      <c r="CM340" s="10"/>
      <c r="CN340" s="10"/>
      <c r="CO340" s="10"/>
      <c r="CP340" s="10"/>
      <c r="CQ340" s="10"/>
      <c r="CR340" s="10"/>
      <c r="CS340" s="10"/>
      <c r="CT340" s="10"/>
      <c r="CU340" s="10"/>
      <c r="CV340" s="10"/>
      <c r="CW340" s="10"/>
      <c r="CX340" s="10"/>
      <c r="CY340" s="10"/>
      <c r="CZ340" s="10"/>
      <c r="DA340" s="10"/>
      <c r="DB340" s="10"/>
      <c r="DC340" s="10"/>
      <c r="DD340" s="10"/>
      <c r="DE340" s="10"/>
      <c r="DF340" s="10"/>
      <c r="DG340" s="10"/>
      <c r="DH340" s="10"/>
      <c r="DI340" s="10"/>
      <c r="DJ340" s="10"/>
      <c r="DK340" s="10"/>
      <c r="DL340" s="10"/>
      <c r="DM340" s="10"/>
      <c r="DN340" s="10"/>
      <c r="DO340" s="10"/>
      <c r="DP340" s="10"/>
    </row>
    <row r="341" spans="2:120" x14ac:dyDescent="0.25">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10"/>
      <c r="CD341" s="10"/>
      <c r="CE341" s="10"/>
      <c r="CF341" s="10"/>
      <c r="CG341" s="10"/>
      <c r="CH341" s="10"/>
      <c r="CI341" s="10"/>
      <c r="CJ341" s="10"/>
      <c r="CK341" s="10"/>
      <c r="CL341" s="10"/>
      <c r="CM341" s="10"/>
      <c r="CN341" s="10"/>
      <c r="CO341" s="10"/>
      <c r="CP341" s="10"/>
      <c r="CQ341" s="10"/>
      <c r="CR341" s="10"/>
      <c r="CS341" s="10"/>
      <c r="CT341" s="10"/>
      <c r="CU341" s="10"/>
      <c r="CV341" s="10"/>
      <c r="CW341" s="10"/>
      <c r="CX341" s="10"/>
      <c r="CY341" s="10"/>
      <c r="CZ341" s="10"/>
      <c r="DA341" s="10"/>
      <c r="DB341" s="10"/>
      <c r="DC341" s="10"/>
      <c r="DD341" s="10"/>
      <c r="DE341" s="10"/>
      <c r="DF341" s="10"/>
      <c r="DG341" s="10"/>
      <c r="DH341" s="10"/>
      <c r="DI341" s="10"/>
      <c r="DJ341" s="10"/>
      <c r="DK341" s="10"/>
      <c r="DL341" s="10"/>
      <c r="DM341" s="10"/>
      <c r="DN341" s="10"/>
      <c r="DO341" s="10"/>
      <c r="DP341" s="10"/>
    </row>
    <row r="342" spans="2:120" x14ac:dyDescent="0.25">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row>
    <row r="343" spans="2:120" x14ac:dyDescent="0.25">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10"/>
      <c r="CD343" s="10"/>
      <c r="CE343" s="10"/>
      <c r="CF343" s="10"/>
      <c r="CG343" s="10"/>
      <c r="CH343" s="10"/>
      <c r="CI343" s="10"/>
      <c r="CJ343" s="10"/>
      <c r="CK343" s="10"/>
      <c r="CL343" s="10"/>
      <c r="CM343" s="10"/>
      <c r="CN343" s="10"/>
      <c r="CO343" s="10"/>
      <c r="CP343" s="10"/>
      <c r="CQ343" s="10"/>
      <c r="CR343" s="10"/>
      <c r="CS343" s="10"/>
      <c r="CT343" s="10"/>
      <c r="CU343" s="10"/>
      <c r="CV343" s="10"/>
      <c r="CW343" s="10"/>
      <c r="CX343" s="10"/>
      <c r="CY343" s="10"/>
      <c r="CZ343" s="10"/>
      <c r="DA343" s="10"/>
      <c r="DB343" s="10"/>
      <c r="DC343" s="10"/>
      <c r="DD343" s="10"/>
      <c r="DE343" s="10"/>
      <c r="DF343" s="10"/>
      <c r="DG343" s="10"/>
      <c r="DH343" s="10"/>
      <c r="DI343" s="10"/>
      <c r="DJ343" s="10"/>
      <c r="DK343" s="10"/>
      <c r="DL343" s="10"/>
      <c r="DM343" s="10"/>
      <c r="DN343" s="10"/>
      <c r="DO343" s="10"/>
      <c r="DP343" s="10"/>
    </row>
    <row r="344" spans="2:120" x14ac:dyDescent="0.25">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10"/>
      <c r="CD344" s="10"/>
      <c r="CE344" s="10"/>
      <c r="CF344" s="10"/>
      <c r="CG344" s="10"/>
      <c r="CH344" s="10"/>
      <c r="CI344" s="10"/>
      <c r="CJ344" s="10"/>
      <c r="CK344" s="10"/>
      <c r="CL344" s="10"/>
      <c r="CM344" s="10"/>
      <c r="CN344" s="10"/>
      <c r="CO344" s="10"/>
      <c r="CP344" s="10"/>
      <c r="CQ344" s="10"/>
      <c r="CR344" s="10"/>
      <c r="CS344" s="10"/>
      <c r="CT344" s="10"/>
      <c r="CU344" s="10"/>
      <c r="CV344" s="10"/>
      <c r="CW344" s="10"/>
      <c r="CX344" s="10"/>
      <c r="CY344" s="10"/>
      <c r="CZ344" s="10"/>
      <c r="DA344" s="10"/>
      <c r="DB344" s="10"/>
      <c r="DC344" s="10"/>
      <c r="DD344" s="10"/>
      <c r="DE344" s="10"/>
      <c r="DF344" s="10"/>
      <c r="DG344" s="10"/>
      <c r="DH344" s="10"/>
      <c r="DI344" s="10"/>
      <c r="DJ344" s="10"/>
      <c r="DK344" s="10"/>
      <c r="DL344" s="10"/>
      <c r="DM344" s="10"/>
      <c r="DN344" s="10"/>
      <c r="DO344" s="10"/>
      <c r="DP344" s="10"/>
    </row>
    <row r="345" spans="2:120" x14ac:dyDescent="0.25">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c r="CE345" s="10"/>
      <c r="CF345" s="10"/>
      <c r="CG345" s="10"/>
      <c r="CH345" s="10"/>
      <c r="CI345" s="10"/>
      <c r="CJ345" s="10"/>
      <c r="CK345" s="10"/>
      <c r="CL345" s="10"/>
      <c r="CM345" s="10"/>
      <c r="CN345" s="10"/>
      <c r="CO345" s="10"/>
      <c r="CP345" s="10"/>
      <c r="CQ345" s="10"/>
      <c r="CR345" s="10"/>
      <c r="CS345" s="10"/>
      <c r="CT345" s="10"/>
      <c r="CU345" s="10"/>
      <c r="CV345" s="10"/>
      <c r="CW345" s="10"/>
      <c r="CX345" s="10"/>
      <c r="CY345" s="10"/>
      <c r="CZ345" s="10"/>
      <c r="DA345" s="10"/>
      <c r="DB345" s="10"/>
      <c r="DC345" s="10"/>
      <c r="DD345" s="10"/>
      <c r="DE345" s="10"/>
      <c r="DF345" s="10"/>
      <c r="DG345" s="10"/>
      <c r="DH345" s="10"/>
      <c r="DI345" s="10"/>
      <c r="DJ345" s="10"/>
      <c r="DK345" s="10"/>
      <c r="DL345" s="10"/>
      <c r="DM345" s="10"/>
      <c r="DN345" s="10"/>
      <c r="DO345" s="10"/>
      <c r="DP345" s="10"/>
    </row>
    <row r="346" spans="2:120" x14ac:dyDescent="0.25">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10"/>
      <c r="CD346" s="10"/>
      <c r="CE346" s="10"/>
      <c r="CF346" s="10"/>
      <c r="CG346" s="10"/>
      <c r="CH346" s="10"/>
      <c r="CI346" s="10"/>
      <c r="CJ346" s="10"/>
      <c r="CK346" s="10"/>
      <c r="CL346" s="10"/>
      <c r="CM346" s="10"/>
      <c r="CN346" s="10"/>
      <c r="CO346" s="10"/>
      <c r="CP346" s="10"/>
      <c r="CQ346" s="10"/>
      <c r="CR346" s="10"/>
      <c r="CS346" s="10"/>
      <c r="CT346" s="10"/>
      <c r="CU346" s="10"/>
      <c r="CV346" s="10"/>
      <c r="CW346" s="10"/>
      <c r="CX346" s="10"/>
      <c r="CY346" s="10"/>
      <c r="CZ346" s="10"/>
      <c r="DA346" s="10"/>
      <c r="DB346" s="10"/>
      <c r="DC346" s="10"/>
      <c r="DD346" s="10"/>
      <c r="DE346" s="10"/>
      <c r="DF346" s="10"/>
      <c r="DG346" s="10"/>
      <c r="DH346" s="10"/>
      <c r="DI346" s="10"/>
      <c r="DJ346" s="10"/>
      <c r="DK346" s="10"/>
      <c r="DL346" s="10"/>
      <c r="DM346" s="10"/>
      <c r="DN346" s="10"/>
      <c r="DO346" s="10"/>
      <c r="DP346" s="10"/>
    </row>
    <row r="347" spans="2:120" x14ac:dyDescent="0.25">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10"/>
      <c r="CD347" s="10"/>
      <c r="CE347" s="10"/>
      <c r="CF347" s="10"/>
      <c r="CG347" s="10"/>
      <c r="CH347" s="10"/>
      <c r="CI347" s="10"/>
      <c r="CJ347" s="10"/>
      <c r="CK347" s="10"/>
      <c r="CL347" s="10"/>
      <c r="CM347" s="10"/>
      <c r="CN347" s="10"/>
      <c r="CO347" s="10"/>
      <c r="CP347" s="10"/>
      <c r="CQ347" s="10"/>
      <c r="CR347" s="10"/>
      <c r="CS347" s="10"/>
      <c r="CT347" s="10"/>
      <c r="CU347" s="10"/>
      <c r="CV347" s="10"/>
      <c r="CW347" s="10"/>
      <c r="CX347" s="10"/>
      <c r="CY347" s="10"/>
      <c r="CZ347" s="10"/>
      <c r="DA347" s="10"/>
      <c r="DB347" s="10"/>
      <c r="DC347" s="10"/>
      <c r="DD347" s="10"/>
      <c r="DE347" s="10"/>
      <c r="DF347" s="10"/>
      <c r="DG347" s="10"/>
      <c r="DH347" s="10"/>
      <c r="DI347" s="10"/>
      <c r="DJ347" s="10"/>
      <c r="DK347" s="10"/>
      <c r="DL347" s="10"/>
      <c r="DM347" s="10"/>
      <c r="DN347" s="10"/>
      <c r="DO347" s="10"/>
      <c r="DP347" s="10"/>
    </row>
    <row r="348" spans="2:120" x14ac:dyDescent="0.25">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row>
    <row r="349" spans="2:120" x14ac:dyDescent="0.25">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10"/>
      <c r="CD349" s="10"/>
      <c r="CE349" s="10"/>
      <c r="CF349" s="10"/>
      <c r="CG349" s="10"/>
      <c r="CH349" s="10"/>
      <c r="CI349" s="10"/>
      <c r="CJ349" s="10"/>
      <c r="CK349" s="10"/>
      <c r="CL349" s="10"/>
      <c r="CM349" s="10"/>
      <c r="CN349" s="10"/>
      <c r="CO349" s="10"/>
      <c r="CP349" s="10"/>
      <c r="CQ349" s="10"/>
      <c r="CR349" s="10"/>
      <c r="CS349" s="10"/>
      <c r="CT349" s="10"/>
      <c r="CU349" s="10"/>
      <c r="CV349" s="10"/>
      <c r="CW349" s="10"/>
      <c r="CX349" s="10"/>
      <c r="CY349" s="10"/>
      <c r="CZ349" s="10"/>
      <c r="DA349" s="10"/>
      <c r="DB349" s="10"/>
      <c r="DC349" s="10"/>
      <c r="DD349" s="10"/>
      <c r="DE349" s="10"/>
      <c r="DF349" s="10"/>
      <c r="DG349" s="10"/>
      <c r="DH349" s="10"/>
      <c r="DI349" s="10"/>
      <c r="DJ349" s="10"/>
      <c r="DK349" s="10"/>
      <c r="DL349" s="10"/>
      <c r="DM349" s="10"/>
      <c r="DN349" s="10"/>
      <c r="DO349" s="10"/>
      <c r="DP349" s="10"/>
    </row>
    <row r="350" spans="2:120" x14ac:dyDescent="0.25">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row>
    <row r="351" spans="2:120" x14ac:dyDescent="0.25">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10"/>
      <c r="CD351" s="10"/>
      <c r="CE351" s="10"/>
      <c r="CF351" s="10"/>
      <c r="CG351" s="10"/>
      <c r="CH351" s="10"/>
      <c r="CI351" s="10"/>
      <c r="CJ351" s="10"/>
      <c r="CK351" s="10"/>
      <c r="CL351" s="10"/>
      <c r="CM351" s="10"/>
      <c r="CN351" s="10"/>
      <c r="CO351" s="10"/>
      <c r="CP351" s="10"/>
      <c r="CQ351" s="10"/>
      <c r="CR351" s="10"/>
      <c r="CS351" s="10"/>
      <c r="CT351" s="10"/>
      <c r="CU351" s="10"/>
      <c r="CV351" s="10"/>
      <c r="CW351" s="10"/>
      <c r="CX351" s="10"/>
      <c r="CY351" s="10"/>
      <c r="CZ351" s="10"/>
      <c r="DA351" s="10"/>
      <c r="DB351" s="10"/>
      <c r="DC351" s="10"/>
      <c r="DD351" s="10"/>
      <c r="DE351" s="10"/>
      <c r="DF351" s="10"/>
      <c r="DG351" s="10"/>
      <c r="DH351" s="10"/>
      <c r="DI351" s="10"/>
      <c r="DJ351" s="10"/>
      <c r="DK351" s="10"/>
      <c r="DL351" s="10"/>
      <c r="DM351" s="10"/>
      <c r="DN351" s="10"/>
      <c r="DO351" s="10"/>
      <c r="DP351" s="10"/>
    </row>
    <row r="352" spans="2:120" x14ac:dyDescent="0.25">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10"/>
      <c r="CD352" s="10"/>
      <c r="CE352" s="10"/>
      <c r="CF352" s="10"/>
      <c r="CG352" s="10"/>
      <c r="CH352" s="10"/>
      <c r="CI352" s="10"/>
      <c r="CJ352" s="10"/>
      <c r="CK352" s="10"/>
      <c r="CL352" s="10"/>
      <c r="CM352" s="10"/>
      <c r="CN352" s="10"/>
      <c r="CO352" s="10"/>
      <c r="CP352" s="10"/>
      <c r="CQ352" s="10"/>
      <c r="CR352" s="10"/>
      <c r="CS352" s="10"/>
      <c r="CT352" s="10"/>
      <c r="CU352" s="10"/>
      <c r="CV352" s="10"/>
      <c r="CW352" s="10"/>
      <c r="CX352" s="10"/>
      <c r="CY352" s="10"/>
      <c r="CZ352" s="10"/>
      <c r="DA352" s="10"/>
      <c r="DB352" s="10"/>
      <c r="DC352" s="10"/>
      <c r="DD352" s="10"/>
      <c r="DE352" s="10"/>
      <c r="DF352" s="10"/>
      <c r="DG352" s="10"/>
      <c r="DH352" s="10"/>
      <c r="DI352" s="10"/>
      <c r="DJ352" s="10"/>
      <c r="DK352" s="10"/>
      <c r="DL352" s="10"/>
      <c r="DM352" s="10"/>
      <c r="DN352" s="10"/>
      <c r="DO352" s="10"/>
      <c r="DP352" s="10"/>
    </row>
    <row r="353" spans="2:120" x14ac:dyDescent="0.25">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10"/>
      <c r="CD353" s="10"/>
      <c r="CE353" s="10"/>
      <c r="CF353" s="10"/>
      <c r="CG353" s="10"/>
      <c r="CH353" s="10"/>
      <c r="CI353" s="10"/>
      <c r="CJ353" s="10"/>
      <c r="CK353" s="10"/>
      <c r="CL353" s="10"/>
      <c r="CM353" s="10"/>
      <c r="CN353" s="10"/>
      <c r="CO353" s="10"/>
      <c r="CP353" s="10"/>
      <c r="CQ353" s="10"/>
      <c r="CR353" s="10"/>
      <c r="CS353" s="10"/>
      <c r="CT353" s="10"/>
      <c r="CU353" s="10"/>
      <c r="CV353" s="10"/>
      <c r="CW353" s="10"/>
      <c r="CX353" s="10"/>
      <c r="CY353" s="10"/>
      <c r="CZ353" s="10"/>
      <c r="DA353" s="10"/>
      <c r="DB353" s="10"/>
      <c r="DC353" s="10"/>
      <c r="DD353" s="10"/>
      <c r="DE353" s="10"/>
      <c r="DF353" s="10"/>
      <c r="DG353" s="10"/>
      <c r="DH353" s="10"/>
      <c r="DI353" s="10"/>
      <c r="DJ353" s="10"/>
      <c r="DK353" s="10"/>
      <c r="DL353" s="10"/>
      <c r="DM353" s="10"/>
      <c r="DN353" s="10"/>
      <c r="DO353" s="10"/>
      <c r="DP353" s="10"/>
    </row>
    <row r="354" spans="2:120" x14ac:dyDescent="0.25">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10"/>
      <c r="CD354" s="10"/>
      <c r="CE354" s="10"/>
      <c r="CF354" s="10"/>
      <c r="CG354" s="10"/>
      <c r="CH354" s="10"/>
      <c r="CI354" s="10"/>
      <c r="CJ354" s="10"/>
      <c r="CK354" s="10"/>
      <c r="CL354" s="10"/>
      <c r="CM354" s="10"/>
      <c r="CN354" s="10"/>
      <c r="CO354" s="10"/>
      <c r="CP354" s="10"/>
      <c r="CQ354" s="10"/>
      <c r="CR354" s="10"/>
      <c r="CS354" s="10"/>
      <c r="CT354" s="10"/>
      <c r="CU354" s="10"/>
      <c r="CV354" s="10"/>
      <c r="CW354" s="10"/>
      <c r="CX354" s="10"/>
      <c r="CY354" s="10"/>
      <c r="CZ354" s="10"/>
      <c r="DA354" s="10"/>
      <c r="DB354" s="10"/>
      <c r="DC354" s="10"/>
      <c r="DD354" s="10"/>
      <c r="DE354" s="10"/>
      <c r="DF354" s="10"/>
      <c r="DG354" s="10"/>
      <c r="DH354" s="10"/>
      <c r="DI354" s="10"/>
      <c r="DJ354" s="10"/>
      <c r="DK354" s="10"/>
      <c r="DL354" s="10"/>
      <c r="DM354" s="10"/>
      <c r="DN354" s="10"/>
      <c r="DO354" s="10"/>
      <c r="DP354" s="10"/>
    </row>
    <row r="355" spans="2:120" x14ac:dyDescent="0.25">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10"/>
      <c r="CD355" s="10"/>
      <c r="CE355" s="10"/>
      <c r="CF355" s="10"/>
      <c r="CG355" s="10"/>
      <c r="CH355" s="10"/>
      <c r="CI355" s="10"/>
      <c r="CJ355" s="10"/>
      <c r="CK355" s="10"/>
      <c r="CL355" s="10"/>
      <c r="CM355" s="10"/>
      <c r="CN355" s="10"/>
      <c r="CO355" s="10"/>
      <c r="CP355" s="10"/>
      <c r="CQ355" s="10"/>
      <c r="CR355" s="10"/>
      <c r="CS355" s="10"/>
      <c r="CT355" s="10"/>
      <c r="CU355" s="10"/>
      <c r="CV355" s="10"/>
      <c r="CW355" s="10"/>
      <c r="CX355" s="10"/>
      <c r="CY355" s="10"/>
      <c r="CZ355" s="10"/>
      <c r="DA355" s="10"/>
      <c r="DB355" s="10"/>
      <c r="DC355" s="10"/>
      <c r="DD355" s="10"/>
      <c r="DE355" s="10"/>
      <c r="DF355" s="10"/>
      <c r="DG355" s="10"/>
      <c r="DH355" s="10"/>
      <c r="DI355" s="10"/>
      <c r="DJ355" s="10"/>
      <c r="DK355" s="10"/>
      <c r="DL355" s="10"/>
      <c r="DM355" s="10"/>
      <c r="DN355" s="10"/>
      <c r="DO355" s="10"/>
      <c r="DP355" s="10"/>
    </row>
    <row r="356" spans="2:120" x14ac:dyDescent="0.25">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10"/>
      <c r="CD356" s="10"/>
      <c r="CE356" s="10"/>
      <c r="CF356" s="10"/>
      <c r="CG356" s="10"/>
      <c r="CH356" s="10"/>
      <c r="CI356" s="10"/>
      <c r="CJ356" s="10"/>
      <c r="CK356" s="10"/>
      <c r="CL356" s="10"/>
      <c r="CM356" s="10"/>
      <c r="CN356" s="10"/>
      <c r="CO356" s="10"/>
      <c r="CP356" s="10"/>
      <c r="CQ356" s="10"/>
      <c r="CR356" s="10"/>
      <c r="CS356" s="10"/>
      <c r="CT356" s="10"/>
      <c r="CU356" s="10"/>
      <c r="CV356" s="10"/>
      <c r="CW356" s="10"/>
      <c r="CX356" s="10"/>
      <c r="CY356" s="10"/>
      <c r="CZ356" s="10"/>
      <c r="DA356" s="10"/>
      <c r="DB356" s="10"/>
      <c r="DC356" s="10"/>
      <c r="DD356" s="10"/>
      <c r="DE356" s="10"/>
      <c r="DF356" s="10"/>
      <c r="DG356" s="10"/>
      <c r="DH356" s="10"/>
      <c r="DI356" s="10"/>
      <c r="DJ356" s="10"/>
      <c r="DK356" s="10"/>
      <c r="DL356" s="10"/>
      <c r="DM356" s="10"/>
      <c r="DN356" s="10"/>
      <c r="DO356" s="10"/>
      <c r="DP356" s="10"/>
    </row>
    <row r="357" spans="2:120" x14ac:dyDescent="0.25">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10"/>
      <c r="CD357" s="10"/>
      <c r="CE357" s="10"/>
      <c r="CF357" s="10"/>
      <c r="CG357" s="10"/>
      <c r="CH357" s="10"/>
      <c r="CI357" s="10"/>
      <c r="CJ357" s="10"/>
      <c r="CK357" s="10"/>
      <c r="CL357" s="10"/>
      <c r="CM357" s="10"/>
      <c r="CN357" s="10"/>
      <c r="CO357" s="10"/>
      <c r="CP357" s="10"/>
      <c r="CQ357" s="10"/>
      <c r="CR357" s="10"/>
      <c r="CS357" s="10"/>
      <c r="CT357" s="10"/>
      <c r="CU357" s="10"/>
      <c r="CV357" s="10"/>
      <c r="CW357" s="10"/>
      <c r="CX357" s="10"/>
      <c r="CY357" s="10"/>
      <c r="CZ357" s="10"/>
      <c r="DA357" s="10"/>
      <c r="DB357" s="10"/>
      <c r="DC357" s="10"/>
      <c r="DD357" s="10"/>
      <c r="DE357" s="10"/>
      <c r="DF357" s="10"/>
      <c r="DG357" s="10"/>
      <c r="DH357" s="10"/>
      <c r="DI357" s="10"/>
      <c r="DJ357" s="10"/>
      <c r="DK357" s="10"/>
      <c r="DL357" s="10"/>
      <c r="DM357" s="10"/>
      <c r="DN357" s="10"/>
      <c r="DO357" s="10"/>
      <c r="DP357" s="10"/>
    </row>
    <row r="358" spans="2:120" x14ac:dyDescent="0.25">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row>
    <row r="359" spans="2:120" x14ac:dyDescent="0.25">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10"/>
      <c r="CD359" s="10"/>
      <c r="CE359" s="10"/>
      <c r="CF359" s="10"/>
      <c r="CG359" s="10"/>
      <c r="CH359" s="10"/>
      <c r="CI359" s="10"/>
      <c r="CJ359" s="10"/>
      <c r="CK359" s="10"/>
      <c r="CL359" s="10"/>
      <c r="CM359" s="10"/>
      <c r="CN359" s="10"/>
      <c r="CO359" s="10"/>
      <c r="CP359" s="10"/>
      <c r="CQ359" s="10"/>
      <c r="CR359" s="10"/>
      <c r="CS359" s="10"/>
      <c r="CT359" s="10"/>
      <c r="CU359" s="10"/>
      <c r="CV359" s="10"/>
      <c r="CW359" s="10"/>
      <c r="CX359" s="10"/>
      <c r="CY359" s="10"/>
      <c r="CZ359" s="10"/>
      <c r="DA359" s="10"/>
      <c r="DB359" s="10"/>
      <c r="DC359" s="10"/>
      <c r="DD359" s="10"/>
      <c r="DE359" s="10"/>
      <c r="DF359" s="10"/>
      <c r="DG359" s="10"/>
      <c r="DH359" s="10"/>
      <c r="DI359" s="10"/>
      <c r="DJ359" s="10"/>
      <c r="DK359" s="10"/>
      <c r="DL359" s="10"/>
      <c r="DM359" s="10"/>
      <c r="DN359" s="10"/>
      <c r="DO359" s="10"/>
      <c r="DP359" s="10"/>
    </row>
    <row r="360" spans="2:120" x14ac:dyDescent="0.25">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10"/>
      <c r="CD360" s="10"/>
      <c r="CE360" s="10"/>
      <c r="CF360" s="10"/>
      <c r="CG360" s="10"/>
      <c r="CH360" s="10"/>
      <c r="CI360" s="10"/>
      <c r="CJ360" s="10"/>
      <c r="CK360" s="10"/>
      <c r="CL360" s="10"/>
      <c r="CM360" s="10"/>
      <c r="CN360" s="10"/>
      <c r="CO360" s="10"/>
      <c r="CP360" s="10"/>
      <c r="CQ360" s="10"/>
      <c r="CR360" s="10"/>
      <c r="CS360" s="10"/>
      <c r="CT360" s="10"/>
      <c r="CU360" s="10"/>
      <c r="CV360" s="10"/>
      <c r="CW360" s="10"/>
      <c r="CX360" s="10"/>
      <c r="CY360" s="10"/>
      <c r="CZ360" s="10"/>
      <c r="DA360" s="10"/>
      <c r="DB360" s="10"/>
      <c r="DC360" s="10"/>
      <c r="DD360" s="10"/>
      <c r="DE360" s="10"/>
      <c r="DF360" s="10"/>
      <c r="DG360" s="10"/>
      <c r="DH360" s="10"/>
      <c r="DI360" s="10"/>
      <c r="DJ360" s="10"/>
      <c r="DK360" s="10"/>
      <c r="DL360" s="10"/>
      <c r="DM360" s="10"/>
      <c r="DN360" s="10"/>
      <c r="DO360" s="10"/>
      <c r="DP360" s="10"/>
    </row>
    <row r="361" spans="2:120" x14ac:dyDescent="0.25">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10"/>
      <c r="CD361" s="10"/>
      <c r="CE361" s="10"/>
      <c r="CF361" s="10"/>
      <c r="CG361" s="10"/>
      <c r="CH361" s="10"/>
      <c r="CI361" s="10"/>
      <c r="CJ361" s="10"/>
      <c r="CK361" s="10"/>
      <c r="CL361" s="10"/>
      <c r="CM361" s="10"/>
      <c r="CN361" s="10"/>
      <c r="CO361" s="10"/>
      <c r="CP361" s="10"/>
      <c r="CQ361" s="10"/>
      <c r="CR361" s="10"/>
      <c r="CS361" s="10"/>
      <c r="CT361" s="10"/>
      <c r="CU361" s="10"/>
      <c r="CV361" s="10"/>
      <c r="CW361" s="10"/>
      <c r="CX361" s="10"/>
      <c r="CY361" s="10"/>
      <c r="CZ361" s="10"/>
      <c r="DA361" s="10"/>
      <c r="DB361" s="10"/>
      <c r="DC361" s="10"/>
      <c r="DD361" s="10"/>
      <c r="DE361" s="10"/>
      <c r="DF361" s="10"/>
      <c r="DG361" s="10"/>
      <c r="DH361" s="10"/>
      <c r="DI361" s="10"/>
      <c r="DJ361" s="10"/>
      <c r="DK361" s="10"/>
      <c r="DL361" s="10"/>
      <c r="DM361" s="10"/>
      <c r="DN361" s="10"/>
      <c r="DO361" s="10"/>
      <c r="DP361" s="10"/>
    </row>
    <row r="362" spans="2:120" x14ac:dyDescent="0.25">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10"/>
      <c r="CD362" s="10"/>
      <c r="CE362" s="10"/>
      <c r="CF362" s="10"/>
      <c r="CG362" s="10"/>
      <c r="CH362" s="10"/>
      <c r="CI362" s="10"/>
      <c r="CJ362" s="10"/>
      <c r="CK362" s="10"/>
      <c r="CL362" s="10"/>
      <c r="CM362" s="10"/>
      <c r="CN362" s="10"/>
      <c r="CO362" s="10"/>
      <c r="CP362" s="10"/>
      <c r="CQ362" s="10"/>
      <c r="CR362" s="10"/>
      <c r="CS362" s="10"/>
      <c r="CT362" s="10"/>
      <c r="CU362" s="10"/>
      <c r="CV362" s="10"/>
      <c r="CW362" s="10"/>
      <c r="CX362" s="10"/>
      <c r="CY362" s="10"/>
      <c r="CZ362" s="10"/>
      <c r="DA362" s="10"/>
      <c r="DB362" s="10"/>
      <c r="DC362" s="10"/>
      <c r="DD362" s="10"/>
      <c r="DE362" s="10"/>
      <c r="DF362" s="10"/>
      <c r="DG362" s="10"/>
      <c r="DH362" s="10"/>
      <c r="DI362" s="10"/>
      <c r="DJ362" s="10"/>
      <c r="DK362" s="10"/>
      <c r="DL362" s="10"/>
      <c r="DM362" s="10"/>
      <c r="DN362" s="10"/>
      <c r="DO362" s="10"/>
      <c r="DP362" s="10"/>
    </row>
    <row r="363" spans="2:120" x14ac:dyDescent="0.25">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c r="CH363" s="10"/>
      <c r="CI363" s="10"/>
      <c r="CJ363" s="10"/>
      <c r="CK363" s="10"/>
      <c r="CL363" s="10"/>
      <c r="CM363" s="10"/>
      <c r="CN363" s="10"/>
      <c r="CO363" s="10"/>
      <c r="CP363" s="10"/>
      <c r="CQ363" s="10"/>
      <c r="CR363" s="10"/>
      <c r="CS363" s="10"/>
      <c r="CT363" s="10"/>
      <c r="CU363" s="10"/>
      <c r="CV363" s="10"/>
      <c r="CW363" s="10"/>
      <c r="CX363" s="10"/>
      <c r="CY363" s="10"/>
      <c r="CZ363" s="10"/>
      <c r="DA363" s="10"/>
      <c r="DB363" s="10"/>
      <c r="DC363" s="10"/>
      <c r="DD363" s="10"/>
      <c r="DE363" s="10"/>
      <c r="DF363" s="10"/>
      <c r="DG363" s="10"/>
      <c r="DH363" s="10"/>
      <c r="DI363" s="10"/>
      <c r="DJ363" s="10"/>
      <c r="DK363" s="10"/>
      <c r="DL363" s="10"/>
      <c r="DM363" s="10"/>
      <c r="DN363" s="10"/>
      <c r="DO363" s="10"/>
      <c r="DP363" s="10"/>
    </row>
    <row r="364" spans="2:120" x14ac:dyDescent="0.25">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c r="CW364" s="10"/>
      <c r="CX364" s="10"/>
      <c r="CY364" s="10"/>
      <c r="CZ364" s="10"/>
      <c r="DA364" s="10"/>
      <c r="DB364" s="10"/>
      <c r="DC364" s="10"/>
      <c r="DD364" s="10"/>
      <c r="DE364" s="10"/>
      <c r="DF364" s="10"/>
      <c r="DG364" s="10"/>
      <c r="DH364" s="10"/>
      <c r="DI364" s="10"/>
      <c r="DJ364" s="10"/>
      <c r="DK364" s="10"/>
      <c r="DL364" s="10"/>
      <c r="DM364" s="10"/>
      <c r="DN364" s="10"/>
      <c r="DO364" s="10"/>
      <c r="DP364" s="10"/>
    </row>
    <row r="365" spans="2:120" x14ac:dyDescent="0.25">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c r="CH365" s="10"/>
      <c r="CI365" s="10"/>
      <c r="CJ365" s="10"/>
      <c r="CK365" s="10"/>
      <c r="CL365" s="10"/>
      <c r="CM365" s="10"/>
      <c r="CN365" s="10"/>
      <c r="CO365" s="10"/>
      <c r="CP365" s="10"/>
      <c r="CQ365" s="10"/>
      <c r="CR365" s="10"/>
      <c r="CS365" s="10"/>
      <c r="CT365" s="10"/>
      <c r="CU365" s="10"/>
      <c r="CV365" s="10"/>
      <c r="CW365" s="10"/>
      <c r="CX365" s="10"/>
      <c r="CY365" s="10"/>
      <c r="CZ365" s="10"/>
      <c r="DA365" s="10"/>
      <c r="DB365" s="10"/>
      <c r="DC365" s="10"/>
      <c r="DD365" s="10"/>
      <c r="DE365" s="10"/>
      <c r="DF365" s="10"/>
      <c r="DG365" s="10"/>
      <c r="DH365" s="10"/>
      <c r="DI365" s="10"/>
      <c r="DJ365" s="10"/>
      <c r="DK365" s="10"/>
      <c r="DL365" s="10"/>
      <c r="DM365" s="10"/>
      <c r="DN365" s="10"/>
      <c r="DO365" s="10"/>
      <c r="DP365" s="10"/>
    </row>
    <row r="366" spans="2:120" x14ac:dyDescent="0.25">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row>
    <row r="367" spans="2:120" x14ac:dyDescent="0.25">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row>
    <row r="368" spans="2:120" x14ac:dyDescent="0.25">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10"/>
      <c r="CD368" s="10"/>
      <c r="CE368" s="10"/>
      <c r="CF368" s="10"/>
      <c r="CG368" s="10"/>
      <c r="CH368" s="10"/>
      <c r="CI368" s="10"/>
      <c r="CJ368" s="10"/>
      <c r="CK368" s="10"/>
      <c r="CL368" s="10"/>
      <c r="CM368" s="10"/>
      <c r="CN368" s="10"/>
      <c r="CO368" s="10"/>
      <c r="CP368" s="10"/>
      <c r="CQ368" s="10"/>
      <c r="CR368" s="10"/>
      <c r="CS368" s="10"/>
      <c r="CT368" s="10"/>
      <c r="CU368" s="10"/>
      <c r="CV368" s="10"/>
      <c r="CW368" s="10"/>
      <c r="CX368" s="10"/>
      <c r="CY368" s="10"/>
      <c r="CZ368" s="10"/>
      <c r="DA368" s="10"/>
      <c r="DB368" s="10"/>
      <c r="DC368" s="10"/>
      <c r="DD368" s="10"/>
      <c r="DE368" s="10"/>
      <c r="DF368" s="10"/>
      <c r="DG368" s="10"/>
      <c r="DH368" s="10"/>
      <c r="DI368" s="10"/>
      <c r="DJ368" s="10"/>
      <c r="DK368" s="10"/>
      <c r="DL368" s="10"/>
      <c r="DM368" s="10"/>
      <c r="DN368" s="10"/>
      <c r="DO368" s="10"/>
      <c r="DP368" s="10"/>
    </row>
    <row r="369" spans="2:120" x14ac:dyDescent="0.25">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10"/>
      <c r="CD369" s="10"/>
      <c r="CE369" s="10"/>
      <c r="CF369" s="10"/>
      <c r="CG369" s="10"/>
      <c r="CH369" s="10"/>
      <c r="CI369" s="10"/>
      <c r="CJ369" s="10"/>
      <c r="CK369" s="10"/>
      <c r="CL369" s="10"/>
      <c r="CM369" s="10"/>
      <c r="CN369" s="10"/>
      <c r="CO369" s="10"/>
      <c r="CP369" s="10"/>
      <c r="CQ369" s="10"/>
      <c r="CR369" s="10"/>
      <c r="CS369" s="10"/>
      <c r="CT369" s="10"/>
      <c r="CU369" s="10"/>
      <c r="CV369" s="10"/>
      <c r="CW369" s="10"/>
      <c r="CX369" s="10"/>
      <c r="CY369" s="10"/>
      <c r="CZ369" s="10"/>
      <c r="DA369" s="10"/>
      <c r="DB369" s="10"/>
      <c r="DC369" s="10"/>
      <c r="DD369" s="10"/>
      <c r="DE369" s="10"/>
      <c r="DF369" s="10"/>
      <c r="DG369" s="10"/>
      <c r="DH369" s="10"/>
      <c r="DI369" s="10"/>
      <c r="DJ369" s="10"/>
      <c r="DK369" s="10"/>
      <c r="DL369" s="10"/>
      <c r="DM369" s="10"/>
      <c r="DN369" s="10"/>
      <c r="DO369" s="10"/>
      <c r="DP369" s="10"/>
    </row>
    <row r="370" spans="2:120" x14ac:dyDescent="0.25">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10"/>
      <c r="CD370" s="10"/>
      <c r="CE370" s="10"/>
      <c r="CF370" s="10"/>
      <c r="CG370" s="10"/>
      <c r="CH370" s="10"/>
      <c r="CI370" s="10"/>
      <c r="CJ370" s="10"/>
      <c r="CK370" s="10"/>
      <c r="CL370" s="10"/>
      <c r="CM370" s="10"/>
      <c r="CN370" s="10"/>
      <c r="CO370" s="10"/>
      <c r="CP370" s="10"/>
      <c r="CQ370" s="10"/>
      <c r="CR370" s="10"/>
      <c r="CS370" s="10"/>
      <c r="CT370" s="10"/>
      <c r="CU370" s="10"/>
      <c r="CV370" s="10"/>
      <c r="CW370" s="10"/>
      <c r="CX370" s="10"/>
      <c r="CY370" s="10"/>
      <c r="CZ370" s="10"/>
      <c r="DA370" s="10"/>
      <c r="DB370" s="10"/>
      <c r="DC370" s="10"/>
      <c r="DD370" s="10"/>
      <c r="DE370" s="10"/>
      <c r="DF370" s="10"/>
      <c r="DG370" s="10"/>
      <c r="DH370" s="10"/>
      <c r="DI370" s="10"/>
      <c r="DJ370" s="10"/>
      <c r="DK370" s="10"/>
      <c r="DL370" s="10"/>
      <c r="DM370" s="10"/>
      <c r="DN370" s="10"/>
      <c r="DO370" s="10"/>
      <c r="DP370" s="10"/>
    </row>
    <row r="371" spans="2:120" x14ac:dyDescent="0.25">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c r="CH371" s="10"/>
      <c r="CI371" s="10"/>
      <c r="CJ371" s="10"/>
      <c r="CK371" s="10"/>
      <c r="CL371" s="10"/>
      <c r="CM371" s="10"/>
      <c r="CN371" s="10"/>
      <c r="CO371" s="10"/>
      <c r="CP371" s="10"/>
      <c r="CQ371" s="10"/>
      <c r="CR371" s="10"/>
      <c r="CS371" s="10"/>
      <c r="CT371" s="10"/>
      <c r="CU371" s="10"/>
      <c r="CV371" s="10"/>
      <c r="CW371" s="10"/>
      <c r="CX371" s="10"/>
      <c r="CY371" s="10"/>
      <c r="CZ371" s="10"/>
      <c r="DA371" s="10"/>
      <c r="DB371" s="10"/>
      <c r="DC371" s="10"/>
      <c r="DD371" s="10"/>
      <c r="DE371" s="10"/>
      <c r="DF371" s="10"/>
      <c r="DG371" s="10"/>
      <c r="DH371" s="10"/>
      <c r="DI371" s="10"/>
      <c r="DJ371" s="10"/>
      <c r="DK371" s="10"/>
      <c r="DL371" s="10"/>
      <c r="DM371" s="10"/>
      <c r="DN371" s="10"/>
      <c r="DO371" s="10"/>
      <c r="DP371" s="10"/>
    </row>
    <row r="372" spans="2:120" x14ac:dyDescent="0.25">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c r="CH372" s="10"/>
      <c r="CI372" s="10"/>
      <c r="CJ372" s="10"/>
      <c r="CK372" s="10"/>
      <c r="CL372" s="10"/>
      <c r="CM372" s="10"/>
      <c r="CN372" s="10"/>
      <c r="CO372" s="10"/>
      <c r="CP372" s="10"/>
      <c r="CQ372" s="10"/>
      <c r="CR372" s="10"/>
      <c r="CS372" s="10"/>
      <c r="CT372" s="10"/>
      <c r="CU372" s="10"/>
      <c r="CV372" s="10"/>
      <c r="CW372" s="10"/>
      <c r="CX372" s="10"/>
      <c r="CY372" s="10"/>
      <c r="CZ372" s="10"/>
      <c r="DA372" s="10"/>
      <c r="DB372" s="10"/>
      <c r="DC372" s="10"/>
      <c r="DD372" s="10"/>
      <c r="DE372" s="10"/>
      <c r="DF372" s="10"/>
      <c r="DG372" s="10"/>
      <c r="DH372" s="10"/>
      <c r="DI372" s="10"/>
      <c r="DJ372" s="10"/>
      <c r="DK372" s="10"/>
      <c r="DL372" s="10"/>
      <c r="DM372" s="10"/>
      <c r="DN372" s="10"/>
      <c r="DO372" s="10"/>
      <c r="DP372" s="10"/>
    </row>
    <row r="373" spans="2:120" x14ac:dyDescent="0.25">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10"/>
      <c r="CD373" s="10"/>
      <c r="CE373" s="10"/>
      <c r="CF373" s="10"/>
      <c r="CG373" s="10"/>
      <c r="CH373" s="10"/>
      <c r="CI373" s="10"/>
      <c r="CJ373" s="10"/>
      <c r="CK373" s="10"/>
      <c r="CL373" s="10"/>
      <c r="CM373" s="10"/>
      <c r="CN373" s="10"/>
      <c r="CO373" s="10"/>
      <c r="CP373" s="10"/>
      <c r="CQ373" s="10"/>
      <c r="CR373" s="10"/>
      <c r="CS373" s="10"/>
      <c r="CT373" s="10"/>
      <c r="CU373" s="10"/>
      <c r="CV373" s="10"/>
      <c r="CW373" s="10"/>
      <c r="CX373" s="10"/>
      <c r="CY373" s="10"/>
      <c r="CZ373" s="10"/>
      <c r="DA373" s="10"/>
      <c r="DB373" s="10"/>
      <c r="DC373" s="10"/>
      <c r="DD373" s="10"/>
      <c r="DE373" s="10"/>
      <c r="DF373" s="10"/>
      <c r="DG373" s="10"/>
      <c r="DH373" s="10"/>
      <c r="DI373" s="10"/>
      <c r="DJ373" s="10"/>
      <c r="DK373" s="10"/>
      <c r="DL373" s="10"/>
      <c r="DM373" s="10"/>
      <c r="DN373" s="10"/>
      <c r="DO373" s="10"/>
      <c r="DP373" s="10"/>
    </row>
    <row r="374" spans="2:120" x14ac:dyDescent="0.25">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row>
    <row r="375" spans="2:120" x14ac:dyDescent="0.25">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c r="CH375" s="10"/>
      <c r="CI375" s="10"/>
      <c r="CJ375" s="10"/>
      <c r="CK375" s="10"/>
      <c r="CL375" s="10"/>
      <c r="CM375" s="10"/>
      <c r="CN375" s="10"/>
      <c r="CO375" s="10"/>
      <c r="CP375" s="10"/>
      <c r="CQ375" s="10"/>
      <c r="CR375" s="10"/>
      <c r="CS375" s="10"/>
      <c r="CT375" s="10"/>
      <c r="CU375" s="10"/>
      <c r="CV375" s="10"/>
      <c r="CW375" s="10"/>
      <c r="CX375" s="10"/>
      <c r="CY375" s="10"/>
      <c r="CZ375" s="10"/>
      <c r="DA375" s="10"/>
      <c r="DB375" s="10"/>
      <c r="DC375" s="10"/>
      <c r="DD375" s="10"/>
      <c r="DE375" s="10"/>
      <c r="DF375" s="10"/>
      <c r="DG375" s="10"/>
      <c r="DH375" s="10"/>
      <c r="DI375" s="10"/>
      <c r="DJ375" s="10"/>
      <c r="DK375" s="10"/>
      <c r="DL375" s="10"/>
      <c r="DM375" s="10"/>
      <c r="DN375" s="10"/>
      <c r="DO375" s="10"/>
      <c r="DP375" s="10"/>
    </row>
    <row r="376" spans="2:120" x14ac:dyDescent="0.25">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10"/>
      <c r="CD376" s="10"/>
      <c r="CE376" s="10"/>
      <c r="CF376" s="10"/>
      <c r="CG376" s="10"/>
      <c r="CH376" s="10"/>
      <c r="CI376" s="10"/>
      <c r="CJ376" s="10"/>
      <c r="CK376" s="10"/>
      <c r="CL376" s="10"/>
      <c r="CM376" s="10"/>
      <c r="CN376" s="10"/>
      <c r="CO376" s="10"/>
      <c r="CP376" s="10"/>
      <c r="CQ376" s="10"/>
      <c r="CR376" s="10"/>
      <c r="CS376" s="10"/>
      <c r="CT376" s="10"/>
      <c r="CU376" s="10"/>
      <c r="CV376" s="10"/>
      <c r="CW376" s="10"/>
      <c r="CX376" s="10"/>
      <c r="CY376" s="10"/>
      <c r="CZ376" s="10"/>
      <c r="DA376" s="10"/>
      <c r="DB376" s="10"/>
      <c r="DC376" s="10"/>
      <c r="DD376" s="10"/>
      <c r="DE376" s="10"/>
      <c r="DF376" s="10"/>
      <c r="DG376" s="10"/>
      <c r="DH376" s="10"/>
      <c r="DI376" s="10"/>
      <c r="DJ376" s="10"/>
      <c r="DK376" s="10"/>
      <c r="DL376" s="10"/>
      <c r="DM376" s="10"/>
      <c r="DN376" s="10"/>
      <c r="DO376" s="10"/>
      <c r="DP376" s="10"/>
    </row>
    <row r="377" spans="2:120" x14ac:dyDescent="0.25">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c r="CE377" s="10"/>
      <c r="CF377" s="10"/>
      <c r="CG377" s="10"/>
      <c r="CH377" s="10"/>
      <c r="CI377" s="10"/>
      <c r="CJ377" s="10"/>
      <c r="CK377" s="10"/>
      <c r="CL377" s="10"/>
      <c r="CM377" s="10"/>
      <c r="CN377" s="10"/>
      <c r="CO377" s="10"/>
      <c r="CP377" s="10"/>
      <c r="CQ377" s="10"/>
      <c r="CR377" s="10"/>
      <c r="CS377" s="10"/>
      <c r="CT377" s="10"/>
      <c r="CU377" s="10"/>
      <c r="CV377" s="10"/>
      <c r="CW377" s="10"/>
      <c r="CX377" s="10"/>
      <c r="CY377" s="10"/>
      <c r="CZ377" s="10"/>
      <c r="DA377" s="10"/>
      <c r="DB377" s="10"/>
      <c r="DC377" s="10"/>
      <c r="DD377" s="10"/>
      <c r="DE377" s="10"/>
      <c r="DF377" s="10"/>
      <c r="DG377" s="10"/>
      <c r="DH377" s="10"/>
      <c r="DI377" s="10"/>
      <c r="DJ377" s="10"/>
      <c r="DK377" s="10"/>
      <c r="DL377" s="10"/>
      <c r="DM377" s="10"/>
      <c r="DN377" s="10"/>
      <c r="DO377" s="10"/>
      <c r="DP377" s="10"/>
    </row>
    <row r="378" spans="2:120" x14ac:dyDescent="0.25">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c r="CH378" s="10"/>
      <c r="CI378" s="10"/>
      <c r="CJ378" s="10"/>
      <c r="CK378" s="10"/>
      <c r="CL378" s="10"/>
      <c r="CM378" s="10"/>
      <c r="CN378" s="10"/>
      <c r="CO378" s="10"/>
      <c r="CP378" s="10"/>
      <c r="CQ378" s="10"/>
      <c r="CR378" s="10"/>
      <c r="CS378" s="10"/>
      <c r="CT378" s="10"/>
      <c r="CU378" s="10"/>
      <c r="CV378" s="10"/>
      <c r="CW378" s="10"/>
      <c r="CX378" s="10"/>
      <c r="CY378" s="10"/>
      <c r="CZ378" s="10"/>
      <c r="DA378" s="10"/>
      <c r="DB378" s="10"/>
      <c r="DC378" s="10"/>
      <c r="DD378" s="10"/>
      <c r="DE378" s="10"/>
      <c r="DF378" s="10"/>
      <c r="DG378" s="10"/>
      <c r="DH378" s="10"/>
      <c r="DI378" s="10"/>
      <c r="DJ378" s="10"/>
      <c r="DK378" s="10"/>
      <c r="DL378" s="10"/>
      <c r="DM378" s="10"/>
      <c r="DN378" s="10"/>
      <c r="DO378" s="10"/>
      <c r="DP378" s="10"/>
    </row>
    <row r="379" spans="2:120" x14ac:dyDescent="0.25">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row>
    <row r="380" spans="2:120" x14ac:dyDescent="0.25">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c r="CE380" s="10"/>
      <c r="CF380" s="10"/>
      <c r="CG380" s="10"/>
      <c r="CH380" s="10"/>
      <c r="CI380" s="10"/>
      <c r="CJ380" s="10"/>
      <c r="CK380" s="10"/>
      <c r="CL380" s="10"/>
      <c r="CM380" s="10"/>
      <c r="CN380" s="10"/>
      <c r="CO380" s="10"/>
      <c r="CP380" s="10"/>
      <c r="CQ380" s="10"/>
      <c r="CR380" s="10"/>
      <c r="CS380" s="10"/>
      <c r="CT380" s="10"/>
      <c r="CU380" s="10"/>
      <c r="CV380" s="10"/>
      <c r="CW380" s="10"/>
      <c r="CX380" s="10"/>
      <c r="CY380" s="10"/>
      <c r="CZ380" s="10"/>
      <c r="DA380" s="10"/>
      <c r="DB380" s="10"/>
      <c r="DC380" s="10"/>
      <c r="DD380" s="10"/>
      <c r="DE380" s="10"/>
      <c r="DF380" s="10"/>
      <c r="DG380" s="10"/>
      <c r="DH380" s="10"/>
      <c r="DI380" s="10"/>
      <c r="DJ380" s="10"/>
      <c r="DK380" s="10"/>
      <c r="DL380" s="10"/>
      <c r="DM380" s="10"/>
      <c r="DN380" s="10"/>
      <c r="DO380" s="10"/>
      <c r="DP380" s="10"/>
    </row>
    <row r="381" spans="2:120" x14ac:dyDescent="0.25">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row>
    <row r="382" spans="2:120" x14ac:dyDescent="0.25">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row>
    <row r="383" spans="2:120" x14ac:dyDescent="0.25">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10"/>
      <c r="CD383" s="10"/>
      <c r="CE383" s="10"/>
      <c r="CF383" s="10"/>
      <c r="CG383" s="10"/>
      <c r="CH383" s="10"/>
      <c r="CI383" s="10"/>
      <c r="CJ383" s="10"/>
      <c r="CK383" s="10"/>
      <c r="CL383" s="10"/>
      <c r="CM383" s="10"/>
      <c r="CN383" s="10"/>
      <c r="CO383" s="10"/>
      <c r="CP383" s="10"/>
      <c r="CQ383" s="10"/>
      <c r="CR383" s="10"/>
      <c r="CS383" s="10"/>
      <c r="CT383" s="10"/>
      <c r="CU383" s="10"/>
      <c r="CV383" s="10"/>
      <c r="CW383" s="10"/>
      <c r="CX383" s="10"/>
      <c r="CY383" s="10"/>
      <c r="CZ383" s="10"/>
      <c r="DA383" s="10"/>
      <c r="DB383" s="10"/>
      <c r="DC383" s="10"/>
      <c r="DD383" s="10"/>
      <c r="DE383" s="10"/>
      <c r="DF383" s="10"/>
      <c r="DG383" s="10"/>
      <c r="DH383" s="10"/>
      <c r="DI383" s="10"/>
      <c r="DJ383" s="10"/>
      <c r="DK383" s="10"/>
      <c r="DL383" s="10"/>
      <c r="DM383" s="10"/>
      <c r="DN383" s="10"/>
      <c r="DO383" s="10"/>
      <c r="DP383" s="10"/>
    </row>
    <row r="384" spans="2:120" x14ac:dyDescent="0.25">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10"/>
      <c r="CD384" s="10"/>
      <c r="CE384" s="10"/>
      <c r="CF384" s="10"/>
      <c r="CG384" s="10"/>
      <c r="CH384" s="10"/>
      <c r="CI384" s="10"/>
      <c r="CJ384" s="10"/>
      <c r="CK384" s="10"/>
      <c r="CL384" s="10"/>
      <c r="CM384" s="10"/>
      <c r="CN384" s="10"/>
      <c r="CO384" s="10"/>
      <c r="CP384" s="10"/>
      <c r="CQ384" s="10"/>
      <c r="CR384" s="10"/>
      <c r="CS384" s="10"/>
      <c r="CT384" s="10"/>
      <c r="CU384" s="10"/>
      <c r="CV384" s="10"/>
      <c r="CW384" s="10"/>
      <c r="CX384" s="10"/>
      <c r="CY384" s="10"/>
      <c r="CZ384" s="10"/>
      <c r="DA384" s="10"/>
      <c r="DB384" s="10"/>
      <c r="DC384" s="10"/>
      <c r="DD384" s="10"/>
      <c r="DE384" s="10"/>
      <c r="DF384" s="10"/>
      <c r="DG384" s="10"/>
      <c r="DH384" s="10"/>
      <c r="DI384" s="10"/>
      <c r="DJ384" s="10"/>
      <c r="DK384" s="10"/>
      <c r="DL384" s="10"/>
      <c r="DM384" s="10"/>
      <c r="DN384" s="10"/>
      <c r="DO384" s="10"/>
      <c r="DP384" s="10"/>
    </row>
    <row r="385" spans="2:120" x14ac:dyDescent="0.25">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c r="CF385" s="10"/>
      <c r="CG385" s="10"/>
      <c r="CH385" s="10"/>
      <c r="CI385" s="10"/>
      <c r="CJ385" s="10"/>
      <c r="CK385" s="10"/>
      <c r="CL385" s="10"/>
      <c r="CM385" s="10"/>
      <c r="CN385" s="10"/>
      <c r="CO385" s="10"/>
      <c r="CP385" s="10"/>
      <c r="CQ385" s="10"/>
      <c r="CR385" s="10"/>
      <c r="CS385" s="10"/>
      <c r="CT385" s="10"/>
      <c r="CU385" s="10"/>
      <c r="CV385" s="10"/>
      <c r="CW385" s="10"/>
      <c r="CX385" s="10"/>
      <c r="CY385" s="10"/>
      <c r="CZ385" s="10"/>
      <c r="DA385" s="10"/>
      <c r="DB385" s="10"/>
      <c r="DC385" s="10"/>
      <c r="DD385" s="10"/>
      <c r="DE385" s="10"/>
      <c r="DF385" s="10"/>
      <c r="DG385" s="10"/>
      <c r="DH385" s="10"/>
      <c r="DI385" s="10"/>
      <c r="DJ385" s="10"/>
      <c r="DK385" s="10"/>
      <c r="DL385" s="10"/>
      <c r="DM385" s="10"/>
      <c r="DN385" s="10"/>
      <c r="DO385" s="10"/>
      <c r="DP385" s="10"/>
    </row>
    <row r="386" spans="2:120" x14ac:dyDescent="0.25">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10"/>
      <c r="CD386" s="10"/>
      <c r="CE386" s="10"/>
      <c r="CF386" s="10"/>
      <c r="CG386" s="10"/>
      <c r="CH386" s="10"/>
      <c r="CI386" s="10"/>
      <c r="CJ386" s="10"/>
      <c r="CK386" s="10"/>
      <c r="CL386" s="10"/>
      <c r="CM386" s="10"/>
      <c r="CN386" s="10"/>
      <c r="CO386" s="10"/>
      <c r="CP386" s="10"/>
      <c r="CQ386" s="10"/>
      <c r="CR386" s="10"/>
      <c r="CS386" s="10"/>
      <c r="CT386" s="10"/>
      <c r="CU386" s="10"/>
      <c r="CV386" s="10"/>
      <c r="CW386" s="10"/>
      <c r="CX386" s="10"/>
      <c r="CY386" s="10"/>
      <c r="CZ386" s="10"/>
      <c r="DA386" s="10"/>
      <c r="DB386" s="10"/>
      <c r="DC386" s="10"/>
      <c r="DD386" s="10"/>
      <c r="DE386" s="10"/>
      <c r="DF386" s="10"/>
      <c r="DG386" s="10"/>
      <c r="DH386" s="10"/>
      <c r="DI386" s="10"/>
      <c r="DJ386" s="10"/>
      <c r="DK386" s="10"/>
      <c r="DL386" s="10"/>
      <c r="DM386" s="10"/>
      <c r="DN386" s="10"/>
      <c r="DO386" s="10"/>
      <c r="DP386" s="10"/>
    </row>
    <row r="387" spans="2:120" x14ac:dyDescent="0.25">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10"/>
      <c r="CD387" s="10"/>
      <c r="CE387" s="10"/>
      <c r="CF387" s="10"/>
      <c r="CG387" s="10"/>
      <c r="CH387" s="10"/>
      <c r="CI387" s="10"/>
      <c r="CJ387" s="10"/>
      <c r="CK387" s="10"/>
      <c r="CL387" s="10"/>
      <c r="CM387" s="10"/>
      <c r="CN387" s="10"/>
      <c r="CO387" s="10"/>
      <c r="CP387" s="10"/>
      <c r="CQ387" s="10"/>
      <c r="CR387" s="10"/>
      <c r="CS387" s="10"/>
      <c r="CT387" s="10"/>
      <c r="CU387" s="10"/>
      <c r="CV387" s="10"/>
      <c r="CW387" s="10"/>
      <c r="CX387" s="10"/>
      <c r="CY387" s="10"/>
      <c r="CZ387" s="10"/>
      <c r="DA387" s="10"/>
      <c r="DB387" s="10"/>
      <c r="DC387" s="10"/>
      <c r="DD387" s="10"/>
      <c r="DE387" s="10"/>
      <c r="DF387" s="10"/>
      <c r="DG387" s="10"/>
      <c r="DH387" s="10"/>
      <c r="DI387" s="10"/>
      <c r="DJ387" s="10"/>
      <c r="DK387" s="10"/>
      <c r="DL387" s="10"/>
      <c r="DM387" s="10"/>
      <c r="DN387" s="10"/>
      <c r="DO387" s="10"/>
      <c r="DP387" s="10"/>
    </row>
    <row r="388" spans="2:120" x14ac:dyDescent="0.25">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10"/>
      <c r="CD388" s="10"/>
      <c r="CE388" s="10"/>
      <c r="CF388" s="10"/>
      <c r="CG388" s="10"/>
      <c r="CH388" s="10"/>
      <c r="CI388" s="10"/>
      <c r="CJ388" s="10"/>
      <c r="CK388" s="10"/>
      <c r="CL388" s="10"/>
      <c r="CM388" s="10"/>
      <c r="CN388" s="10"/>
      <c r="CO388" s="10"/>
      <c r="CP388" s="10"/>
      <c r="CQ388" s="10"/>
      <c r="CR388" s="10"/>
      <c r="CS388" s="10"/>
      <c r="CT388" s="10"/>
      <c r="CU388" s="10"/>
      <c r="CV388" s="10"/>
      <c r="CW388" s="10"/>
      <c r="CX388" s="10"/>
      <c r="CY388" s="10"/>
      <c r="CZ388" s="10"/>
      <c r="DA388" s="10"/>
      <c r="DB388" s="10"/>
      <c r="DC388" s="10"/>
      <c r="DD388" s="10"/>
      <c r="DE388" s="10"/>
      <c r="DF388" s="10"/>
      <c r="DG388" s="10"/>
      <c r="DH388" s="10"/>
      <c r="DI388" s="10"/>
      <c r="DJ388" s="10"/>
      <c r="DK388" s="10"/>
      <c r="DL388" s="10"/>
      <c r="DM388" s="10"/>
      <c r="DN388" s="10"/>
      <c r="DO388" s="10"/>
      <c r="DP388" s="10"/>
    </row>
    <row r="389" spans="2:120" x14ac:dyDescent="0.25">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10"/>
      <c r="CD389" s="10"/>
      <c r="CE389" s="10"/>
      <c r="CF389" s="10"/>
      <c r="CG389" s="10"/>
      <c r="CH389" s="10"/>
      <c r="CI389" s="10"/>
      <c r="CJ389" s="10"/>
      <c r="CK389" s="10"/>
      <c r="CL389" s="10"/>
      <c r="CM389" s="10"/>
      <c r="CN389" s="10"/>
      <c r="CO389" s="10"/>
      <c r="CP389" s="10"/>
      <c r="CQ389" s="10"/>
      <c r="CR389" s="10"/>
      <c r="CS389" s="10"/>
      <c r="CT389" s="10"/>
      <c r="CU389" s="10"/>
      <c r="CV389" s="10"/>
      <c r="CW389" s="10"/>
      <c r="CX389" s="10"/>
      <c r="CY389" s="10"/>
      <c r="CZ389" s="10"/>
      <c r="DA389" s="10"/>
      <c r="DB389" s="10"/>
      <c r="DC389" s="10"/>
      <c r="DD389" s="10"/>
      <c r="DE389" s="10"/>
      <c r="DF389" s="10"/>
      <c r="DG389" s="10"/>
      <c r="DH389" s="10"/>
      <c r="DI389" s="10"/>
      <c r="DJ389" s="10"/>
      <c r="DK389" s="10"/>
      <c r="DL389" s="10"/>
      <c r="DM389" s="10"/>
      <c r="DN389" s="10"/>
      <c r="DO389" s="10"/>
      <c r="DP389" s="10"/>
    </row>
    <row r="390" spans="2:120" x14ac:dyDescent="0.25">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c r="CE390" s="10"/>
      <c r="CF390" s="10"/>
      <c r="CG390" s="10"/>
      <c r="CH390" s="10"/>
      <c r="CI390" s="10"/>
      <c r="CJ390" s="10"/>
      <c r="CK390" s="10"/>
      <c r="CL390" s="10"/>
      <c r="CM390" s="10"/>
      <c r="CN390" s="10"/>
      <c r="CO390" s="10"/>
      <c r="CP390" s="10"/>
      <c r="CQ390" s="10"/>
      <c r="CR390" s="10"/>
      <c r="CS390" s="10"/>
      <c r="CT390" s="10"/>
      <c r="CU390" s="10"/>
      <c r="CV390" s="10"/>
      <c r="CW390" s="10"/>
      <c r="CX390" s="10"/>
      <c r="CY390" s="10"/>
      <c r="CZ390" s="10"/>
      <c r="DA390" s="10"/>
      <c r="DB390" s="10"/>
      <c r="DC390" s="10"/>
      <c r="DD390" s="10"/>
      <c r="DE390" s="10"/>
      <c r="DF390" s="10"/>
      <c r="DG390" s="10"/>
      <c r="DH390" s="10"/>
      <c r="DI390" s="10"/>
      <c r="DJ390" s="10"/>
      <c r="DK390" s="10"/>
      <c r="DL390" s="10"/>
      <c r="DM390" s="10"/>
      <c r="DN390" s="10"/>
      <c r="DO390" s="10"/>
      <c r="DP390" s="10"/>
    </row>
    <row r="391" spans="2:120" x14ac:dyDescent="0.25">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10"/>
      <c r="CD391" s="10"/>
      <c r="CE391" s="10"/>
      <c r="CF391" s="10"/>
      <c r="CG391" s="10"/>
      <c r="CH391" s="10"/>
      <c r="CI391" s="10"/>
      <c r="CJ391" s="10"/>
      <c r="CK391" s="10"/>
      <c r="CL391" s="10"/>
      <c r="CM391" s="10"/>
      <c r="CN391" s="10"/>
      <c r="CO391" s="10"/>
      <c r="CP391" s="10"/>
      <c r="CQ391" s="10"/>
      <c r="CR391" s="10"/>
      <c r="CS391" s="10"/>
      <c r="CT391" s="10"/>
      <c r="CU391" s="10"/>
      <c r="CV391" s="10"/>
      <c r="CW391" s="10"/>
      <c r="CX391" s="10"/>
      <c r="CY391" s="10"/>
      <c r="CZ391" s="10"/>
      <c r="DA391" s="10"/>
      <c r="DB391" s="10"/>
      <c r="DC391" s="10"/>
      <c r="DD391" s="10"/>
      <c r="DE391" s="10"/>
      <c r="DF391" s="10"/>
      <c r="DG391" s="10"/>
      <c r="DH391" s="10"/>
      <c r="DI391" s="10"/>
      <c r="DJ391" s="10"/>
      <c r="DK391" s="10"/>
      <c r="DL391" s="10"/>
      <c r="DM391" s="10"/>
      <c r="DN391" s="10"/>
      <c r="DO391" s="10"/>
      <c r="DP391" s="10"/>
    </row>
    <row r="392" spans="2:120" x14ac:dyDescent="0.25">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10"/>
      <c r="CD392" s="10"/>
      <c r="CE392" s="10"/>
      <c r="CF392" s="10"/>
      <c r="CG392" s="10"/>
      <c r="CH392" s="10"/>
      <c r="CI392" s="10"/>
      <c r="CJ392" s="10"/>
      <c r="CK392" s="10"/>
      <c r="CL392" s="10"/>
      <c r="CM392" s="10"/>
      <c r="CN392" s="10"/>
      <c r="CO392" s="10"/>
      <c r="CP392" s="10"/>
      <c r="CQ392" s="10"/>
      <c r="CR392" s="10"/>
      <c r="CS392" s="10"/>
      <c r="CT392" s="10"/>
      <c r="CU392" s="10"/>
      <c r="CV392" s="10"/>
      <c r="CW392" s="10"/>
      <c r="CX392" s="10"/>
      <c r="CY392" s="10"/>
      <c r="CZ392" s="10"/>
      <c r="DA392" s="10"/>
      <c r="DB392" s="10"/>
      <c r="DC392" s="10"/>
      <c r="DD392" s="10"/>
      <c r="DE392" s="10"/>
      <c r="DF392" s="10"/>
      <c r="DG392" s="10"/>
      <c r="DH392" s="10"/>
      <c r="DI392" s="10"/>
      <c r="DJ392" s="10"/>
      <c r="DK392" s="10"/>
      <c r="DL392" s="10"/>
      <c r="DM392" s="10"/>
      <c r="DN392" s="10"/>
      <c r="DO392" s="10"/>
      <c r="DP392" s="10"/>
    </row>
    <row r="393" spans="2:120" x14ac:dyDescent="0.25">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10"/>
      <c r="CD393" s="10"/>
      <c r="CE393" s="10"/>
      <c r="CF393" s="10"/>
      <c r="CG393" s="10"/>
      <c r="CH393" s="10"/>
      <c r="CI393" s="10"/>
      <c r="CJ393" s="10"/>
      <c r="CK393" s="10"/>
      <c r="CL393" s="10"/>
      <c r="CM393" s="10"/>
      <c r="CN393" s="10"/>
      <c r="CO393" s="10"/>
      <c r="CP393" s="10"/>
      <c r="CQ393" s="10"/>
      <c r="CR393" s="10"/>
      <c r="CS393" s="10"/>
      <c r="CT393" s="10"/>
      <c r="CU393" s="10"/>
      <c r="CV393" s="10"/>
      <c r="CW393" s="10"/>
      <c r="CX393" s="10"/>
      <c r="CY393" s="10"/>
      <c r="CZ393" s="10"/>
      <c r="DA393" s="10"/>
      <c r="DB393" s="10"/>
      <c r="DC393" s="10"/>
      <c r="DD393" s="10"/>
      <c r="DE393" s="10"/>
      <c r="DF393" s="10"/>
      <c r="DG393" s="10"/>
      <c r="DH393" s="10"/>
      <c r="DI393" s="10"/>
      <c r="DJ393" s="10"/>
      <c r="DK393" s="10"/>
      <c r="DL393" s="10"/>
      <c r="DM393" s="10"/>
      <c r="DN393" s="10"/>
      <c r="DO393" s="10"/>
      <c r="DP393" s="10"/>
    </row>
    <row r="394" spans="2:120" x14ac:dyDescent="0.25">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10"/>
      <c r="CD394" s="10"/>
      <c r="CE394" s="10"/>
      <c r="CF394" s="10"/>
      <c r="CG394" s="10"/>
      <c r="CH394" s="10"/>
      <c r="CI394" s="10"/>
      <c r="CJ394" s="10"/>
      <c r="CK394" s="10"/>
      <c r="CL394" s="10"/>
      <c r="CM394" s="10"/>
      <c r="CN394" s="10"/>
      <c r="CO394" s="10"/>
      <c r="CP394" s="10"/>
      <c r="CQ394" s="10"/>
      <c r="CR394" s="10"/>
      <c r="CS394" s="10"/>
      <c r="CT394" s="10"/>
      <c r="CU394" s="10"/>
      <c r="CV394" s="10"/>
      <c r="CW394" s="10"/>
      <c r="CX394" s="10"/>
      <c r="CY394" s="10"/>
      <c r="CZ394" s="10"/>
      <c r="DA394" s="10"/>
      <c r="DB394" s="10"/>
      <c r="DC394" s="10"/>
      <c r="DD394" s="10"/>
      <c r="DE394" s="10"/>
      <c r="DF394" s="10"/>
      <c r="DG394" s="10"/>
      <c r="DH394" s="10"/>
      <c r="DI394" s="10"/>
      <c r="DJ394" s="10"/>
      <c r="DK394" s="10"/>
      <c r="DL394" s="10"/>
      <c r="DM394" s="10"/>
      <c r="DN394" s="10"/>
      <c r="DO394" s="10"/>
      <c r="DP394" s="10"/>
    </row>
    <row r="395" spans="2:120" x14ac:dyDescent="0.25">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10"/>
      <c r="CD395" s="10"/>
      <c r="CE395" s="10"/>
      <c r="CF395" s="10"/>
      <c r="CG395" s="10"/>
      <c r="CH395" s="10"/>
      <c r="CI395" s="10"/>
      <c r="CJ395" s="10"/>
      <c r="CK395" s="10"/>
      <c r="CL395" s="10"/>
      <c r="CM395" s="10"/>
      <c r="CN395" s="10"/>
      <c r="CO395" s="10"/>
      <c r="CP395" s="10"/>
      <c r="CQ395" s="10"/>
      <c r="CR395" s="10"/>
      <c r="CS395" s="10"/>
      <c r="CT395" s="10"/>
      <c r="CU395" s="10"/>
      <c r="CV395" s="10"/>
      <c r="CW395" s="10"/>
      <c r="CX395" s="10"/>
      <c r="CY395" s="10"/>
      <c r="CZ395" s="10"/>
      <c r="DA395" s="10"/>
      <c r="DB395" s="10"/>
      <c r="DC395" s="10"/>
      <c r="DD395" s="10"/>
      <c r="DE395" s="10"/>
      <c r="DF395" s="10"/>
      <c r="DG395" s="10"/>
      <c r="DH395" s="10"/>
      <c r="DI395" s="10"/>
      <c r="DJ395" s="10"/>
      <c r="DK395" s="10"/>
      <c r="DL395" s="10"/>
      <c r="DM395" s="10"/>
      <c r="DN395" s="10"/>
      <c r="DO395" s="10"/>
      <c r="DP395" s="10"/>
    </row>
    <row r="396" spans="2:120" x14ac:dyDescent="0.25">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10"/>
      <c r="CD396" s="10"/>
      <c r="CE396" s="10"/>
      <c r="CF396" s="10"/>
      <c r="CG396" s="10"/>
      <c r="CH396" s="10"/>
      <c r="CI396" s="10"/>
      <c r="CJ396" s="10"/>
      <c r="CK396" s="10"/>
      <c r="CL396" s="10"/>
      <c r="CM396" s="10"/>
      <c r="CN396" s="10"/>
      <c r="CO396" s="10"/>
      <c r="CP396" s="10"/>
      <c r="CQ396" s="10"/>
      <c r="CR396" s="10"/>
      <c r="CS396" s="10"/>
      <c r="CT396" s="10"/>
      <c r="CU396" s="10"/>
      <c r="CV396" s="10"/>
      <c r="CW396" s="10"/>
      <c r="CX396" s="10"/>
      <c r="CY396" s="10"/>
      <c r="CZ396" s="10"/>
      <c r="DA396" s="10"/>
      <c r="DB396" s="10"/>
      <c r="DC396" s="10"/>
      <c r="DD396" s="10"/>
      <c r="DE396" s="10"/>
      <c r="DF396" s="10"/>
      <c r="DG396" s="10"/>
      <c r="DH396" s="10"/>
      <c r="DI396" s="10"/>
      <c r="DJ396" s="10"/>
      <c r="DK396" s="10"/>
      <c r="DL396" s="10"/>
      <c r="DM396" s="10"/>
      <c r="DN396" s="10"/>
      <c r="DO396" s="10"/>
      <c r="DP396" s="10"/>
    </row>
    <row r="397" spans="2:120" x14ac:dyDescent="0.25">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10"/>
      <c r="CD397" s="10"/>
      <c r="CE397" s="10"/>
      <c r="CF397" s="10"/>
      <c r="CG397" s="10"/>
      <c r="CH397" s="10"/>
      <c r="CI397" s="10"/>
      <c r="CJ397" s="10"/>
      <c r="CK397" s="10"/>
      <c r="CL397" s="10"/>
      <c r="CM397" s="10"/>
      <c r="CN397" s="10"/>
      <c r="CO397" s="10"/>
      <c r="CP397" s="10"/>
      <c r="CQ397" s="10"/>
      <c r="CR397" s="10"/>
      <c r="CS397" s="10"/>
      <c r="CT397" s="10"/>
      <c r="CU397" s="10"/>
      <c r="CV397" s="10"/>
      <c r="CW397" s="10"/>
      <c r="CX397" s="10"/>
      <c r="CY397" s="10"/>
      <c r="CZ397" s="10"/>
      <c r="DA397" s="10"/>
      <c r="DB397" s="10"/>
      <c r="DC397" s="10"/>
      <c r="DD397" s="10"/>
      <c r="DE397" s="10"/>
      <c r="DF397" s="10"/>
      <c r="DG397" s="10"/>
      <c r="DH397" s="10"/>
      <c r="DI397" s="10"/>
      <c r="DJ397" s="10"/>
      <c r="DK397" s="10"/>
      <c r="DL397" s="10"/>
      <c r="DM397" s="10"/>
      <c r="DN397" s="10"/>
      <c r="DO397" s="10"/>
      <c r="DP397" s="10"/>
    </row>
    <row r="398" spans="2:120" x14ac:dyDescent="0.25">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c r="CE398" s="10"/>
      <c r="CF398" s="10"/>
      <c r="CG398" s="10"/>
      <c r="CH398" s="10"/>
      <c r="CI398" s="10"/>
      <c r="CJ398" s="10"/>
      <c r="CK398" s="10"/>
      <c r="CL398" s="10"/>
      <c r="CM398" s="10"/>
      <c r="CN398" s="10"/>
      <c r="CO398" s="10"/>
      <c r="CP398" s="10"/>
      <c r="CQ398" s="10"/>
      <c r="CR398" s="10"/>
      <c r="CS398" s="10"/>
      <c r="CT398" s="10"/>
      <c r="CU398" s="10"/>
      <c r="CV398" s="10"/>
      <c r="CW398" s="10"/>
      <c r="CX398" s="10"/>
      <c r="CY398" s="10"/>
      <c r="CZ398" s="10"/>
      <c r="DA398" s="10"/>
      <c r="DB398" s="10"/>
      <c r="DC398" s="10"/>
      <c r="DD398" s="10"/>
      <c r="DE398" s="10"/>
      <c r="DF398" s="10"/>
      <c r="DG398" s="10"/>
      <c r="DH398" s="10"/>
      <c r="DI398" s="10"/>
      <c r="DJ398" s="10"/>
      <c r="DK398" s="10"/>
      <c r="DL398" s="10"/>
      <c r="DM398" s="10"/>
      <c r="DN398" s="10"/>
      <c r="DO398" s="10"/>
      <c r="DP398" s="10"/>
    </row>
    <row r="399" spans="2:120" x14ac:dyDescent="0.25">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row>
    <row r="400" spans="2:120" x14ac:dyDescent="0.25">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10"/>
      <c r="CD400" s="10"/>
      <c r="CE400" s="10"/>
      <c r="CF400" s="10"/>
      <c r="CG400" s="10"/>
      <c r="CH400" s="10"/>
      <c r="CI400" s="10"/>
      <c r="CJ400" s="10"/>
      <c r="CK400" s="10"/>
      <c r="CL400" s="10"/>
      <c r="CM400" s="10"/>
      <c r="CN400" s="10"/>
      <c r="CO400" s="10"/>
      <c r="CP400" s="10"/>
      <c r="CQ400" s="10"/>
      <c r="CR400" s="10"/>
      <c r="CS400" s="10"/>
      <c r="CT400" s="10"/>
      <c r="CU400" s="10"/>
      <c r="CV400" s="10"/>
      <c r="CW400" s="10"/>
      <c r="CX400" s="10"/>
      <c r="CY400" s="10"/>
      <c r="CZ400" s="10"/>
      <c r="DA400" s="10"/>
      <c r="DB400" s="10"/>
      <c r="DC400" s="10"/>
      <c r="DD400" s="10"/>
      <c r="DE400" s="10"/>
      <c r="DF400" s="10"/>
      <c r="DG400" s="10"/>
      <c r="DH400" s="10"/>
      <c r="DI400" s="10"/>
      <c r="DJ400" s="10"/>
      <c r="DK400" s="10"/>
      <c r="DL400" s="10"/>
      <c r="DM400" s="10"/>
      <c r="DN400" s="10"/>
      <c r="DO400" s="10"/>
      <c r="DP400" s="10"/>
    </row>
    <row r="401" spans="2:120" x14ac:dyDescent="0.25">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10"/>
      <c r="CD401" s="10"/>
      <c r="CE401" s="10"/>
      <c r="CF401" s="10"/>
      <c r="CG401" s="10"/>
      <c r="CH401" s="10"/>
      <c r="CI401" s="10"/>
      <c r="CJ401" s="10"/>
      <c r="CK401" s="10"/>
      <c r="CL401" s="10"/>
      <c r="CM401" s="10"/>
      <c r="CN401" s="10"/>
      <c r="CO401" s="10"/>
      <c r="CP401" s="10"/>
      <c r="CQ401" s="10"/>
      <c r="CR401" s="10"/>
      <c r="CS401" s="10"/>
      <c r="CT401" s="10"/>
      <c r="CU401" s="10"/>
      <c r="CV401" s="10"/>
      <c r="CW401" s="10"/>
      <c r="CX401" s="10"/>
      <c r="CY401" s="10"/>
      <c r="CZ401" s="10"/>
      <c r="DA401" s="10"/>
      <c r="DB401" s="10"/>
      <c r="DC401" s="10"/>
      <c r="DD401" s="10"/>
      <c r="DE401" s="10"/>
      <c r="DF401" s="10"/>
      <c r="DG401" s="10"/>
      <c r="DH401" s="10"/>
      <c r="DI401" s="10"/>
      <c r="DJ401" s="10"/>
      <c r="DK401" s="10"/>
      <c r="DL401" s="10"/>
      <c r="DM401" s="10"/>
      <c r="DN401" s="10"/>
      <c r="DO401" s="10"/>
      <c r="DP401" s="10"/>
    </row>
    <row r="402" spans="2:120" x14ac:dyDescent="0.25">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c r="CC402" s="10"/>
      <c r="CD402" s="10"/>
      <c r="CE402" s="10"/>
      <c r="CF402" s="10"/>
      <c r="CG402" s="10"/>
      <c r="CH402" s="10"/>
      <c r="CI402" s="10"/>
      <c r="CJ402" s="10"/>
      <c r="CK402" s="10"/>
      <c r="CL402" s="10"/>
      <c r="CM402" s="10"/>
      <c r="CN402" s="10"/>
      <c r="CO402" s="10"/>
      <c r="CP402" s="10"/>
      <c r="CQ402" s="10"/>
      <c r="CR402" s="10"/>
      <c r="CS402" s="10"/>
      <c r="CT402" s="10"/>
      <c r="CU402" s="10"/>
      <c r="CV402" s="10"/>
      <c r="CW402" s="10"/>
      <c r="CX402" s="10"/>
      <c r="CY402" s="10"/>
      <c r="CZ402" s="10"/>
      <c r="DA402" s="10"/>
      <c r="DB402" s="10"/>
      <c r="DC402" s="10"/>
      <c r="DD402" s="10"/>
      <c r="DE402" s="10"/>
      <c r="DF402" s="10"/>
      <c r="DG402" s="10"/>
      <c r="DH402" s="10"/>
      <c r="DI402" s="10"/>
      <c r="DJ402" s="10"/>
      <c r="DK402" s="10"/>
      <c r="DL402" s="10"/>
      <c r="DM402" s="10"/>
      <c r="DN402" s="10"/>
      <c r="DO402" s="10"/>
      <c r="DP402" s="10"/>
    </row>
    <row r="403" spans="2:120" x14ac:dyDescent="0.25">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c r="BZ403" s="10"/>
      <c r="CA403" s="10"/>
      <c r="CB403" s="10"/>
      <c r="CC403" s="10"/>
      <c r="CD403" s="10"/>
      <c r="CE403" s="10"/>
      <c r="CF403" s="10"/>
      <c r="CG403" s="10"/>
      <c r="CH403" s="10"/>
      <c r="CI403" s="10"/>
      <c r="CJ403" s="10"/>
      <c r="CK403" s="10"/>
      <c r="CL403" s="10"/>
      <c r="CM403" s="10"/>
      <c r="CN403" s="10"/>
      <c r="CO403" s="10"/>
      <c r="CP403" s="10"/>
      <c r="CQ403" s="10"/>
      <c r="CR403" s="10"/>
      <c r="CS403" s="10"/>
      <c r="CT403" s="10"/>
      <c r="CU403" s="10"/>
      <c r="CV403" s="10"/>
      <c r="CW403" s="10"/>
      <c r="CX403" s="10"/>
      <c r="CY403" s="10"/>
      <c r="CZ403" s="10"/>
      <c r="DA403" s="10"/>
      <c r="DB403" s="10"/>
      <c r="DC403" s="10"/>
      <c r="DD403" s="10"/>
      <c r="DE403" s="10"/>
      <c r="DF403" s="10"/>
      <c r="DG403" s="10"/>
      <c r="DH403" s="10"/>
      <c r="DI403" s="10"/>
      <c r="DJ403" s="10"/>
      <c r="DK403" s="10"/>
      <c r="DL403" s="10"/>
      <c r="DM403" s="10"/>
      <c r="DN403" s="10"/>
      <c r="DO403" s="10"/>
      <c r="DP403" s="10"/>
    </row>
    <row r="404" spans="2:120" x14ac:dyDescent="0.25">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c r="BZ404" s="10"/>
      <c r="CA404" s="10"/>
      <c r="CB404" s="10"/>
      <c r="CC404" s="10"/>
      <c r="CD404" s="10"/>
      <c r="CE404" s="10"/>
      <c r="CF404" s="10"/>
      <c r="CG404" s="10"/>
      <c r="CH404" s="10"/>
      <c r="CI404" s="10"/>
      <c r="CJ404" s="10"/>
      <c r="CK404" s="10"/>
      <c r="CL404" s="10"/>
      <c r="CM404" s="10"/>
      <c r="CN404" s="10"/>
      <c r="CO404" s="10"/>
      <c r="CP404" s="10"/>
      <c r="CQ404" s="10"/>
      <c r="CR404" s="10"/>
      <c r="CS404" s="10"/>
      <c r="CT404" s="10"/>
      <c r="CU404" s="10"/>
      <c r="CV404" s="10"/>
      <c r="CW404" s="10"/>
      <c r="CX404" s="10"/>
      <c r="CY404" s="10"/>
      <c r="CZ404" s="10"/>
      <c r="DA404" s="10"/>
      <c r="DB404" s="10"/>
      <c r="DC404" s="10"/>
      <c r="DD404" s="10"/>
      <c r="DE404" s="10"/>
      <c r="DF404" s="10"/>
      <c r="DG404" s="10"/>
      <c r="DH404" s="10"/>
      <c r="DI404" s="10"/>
      <c r="DJ404" s="10"/>
      <c r="DK404" s="10"/>
      <c r="DL404" s="10"/>
      <c r="DM404" s="10"/>
      <c r="DN404" s="10"/>
      <c r="DO404" s="10"/>
      <c r="DP404" s="10"/>
    </row>
    <row r="405" spans="2:120" x14ac:dyDescent="0.25">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c r="BZ405" s="10"/>
      <c r="CA405" s="10"/>
      <c r="CB405" s="10"/>
      <c r="CC405" s="10"/>
      <c r="CD405" s="10"/>
      <c r="CE405" s="10"/>
      <c r="CF405" s="10"/>
      <c r="CG405" s="10"/>
      <c r="CH405" s="10"/>
      <c r="CI405" s="10"/>
      <c r="CJ405" s="10"/>
      <c r="CK405" s="10"/>
      <c r="CL405" s="10"/>
      <c r="CM405" s="10"/>
      <c r="CN405" s="10"/>
      <c r="CO405" s="10"/>
      <c r="CP405" s="10"/>
      <c r="CQ405" s="10"/>
      <c r="CR405" s="10"/>
      <c r="CS405" s="10"/>
      <c r="CT405" s="10"/>
      <c r="CU405" s="10"/>
      <c r="CV405" s="10"/>
      <c r="CW405" s="10"/>
      <c r="CX405" s="10"/>
      <c r="CY405" s="10"/>
      <c r="CZ405" s="10"/>
      <c r="DA405" s="10"/>
      <c r="DB405" s="10"/>
      <c r="DC405" s="10"/>
      <c r="DD405" s="10"/>
      <c r="DE405" s="10"/>
      <c r="DF405" s="10"/>
      <c r="DG405" s="10"/>
      <c r="DH405" s="10"/>
      <c r="DI405" s="10"/>
      <c r="DJ405" s="10"/>
      <c r="DK405" s="10"/>
      <c r="DL405" s="10"/>
      <c r="DM405" s="10"/>
      <c r="DN405" s="10"/>
      <c r="DO405" s="10"/>
      <c r="DP405" s="10"/>
    </row>
    <row r="406" spans="2:120" x14ac:dyDescent="0.25">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10"/>
      <c r="CD406" s="10"/>
      <c r="CE406" s="10"/>
      <c r="CF406" s="10"/>
      <c r="CG406" s="10"/>
      <c r="CH406" s="10"/>
      <c r="CI406" s="10"/>
      <c r="CJ406" s="10"/>
      <c r="CK406" s="10"/>
      <c r="CL406" s="10"/>
      <c r="CM406" s="10"/>
      <c r="CN406" s="10"/>
      <c r="CO406" s="10"/>
      <c r="CP406" s="10"/>
      <c r="CQ406" s="10"/>
      <c r="CR406" s="10"/>
      <c r="CS406" s="10"/>
      <c r="CT406" s="10"/>
      <c r="CU406" s="10"/>
      <c r="CV406" s="10"/>
      <c r="CW406" s="10"/>
      <c r="CX406" s="10"/>
      <c r="CY406" s="10"/>
      <c r="CZ406" s="10"/>
      <c r="DA406" s="10"/>
      <c r="DB406" s="10"/>
      <c r="DC406" s="10"/>
      <c r="DD406" s="10"/>
      <c r="DE406" s="10"/>
      <c r="DF406" s="10"/>
      <c r="DG406" s="10"/>
      <c r="DH406" s="10"/>
      <c r="DI406" s="10"/>
      <c r="DJ406" s="10"/>
      <c r="DK406" s="10"/>
      <c r="DL406" s="10"/>
      <c r="DM406" s="10"/>
      <c r="DN406" s="10"/>
      <c r="DO406" s="10"/>
      <c r="DP406" s="10"/>
    </row>
    <row r="407" spans="2:120" x14ac:dyDescent="0.25">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c r="CC407" s="10"/>
      <c r="CD407" s="10"/>
      <c r="CE407" s="10"/>
      <c r="CF407" s="10"/>
      <c r="CG407" s="10"/>
      <c r="CH407" s="10"/>
      <c r="CI407" s="10"/>
      <c r="CJ407" s="10"/>
      <c r="CK407" s="10"/>
      <c r="CL407" s="10"/>
      <c r="CM407" s="10"/>
      <c r="CN407" s="10"/>
      <c r="CO407" s="10"/>
      <c r="CP407" s="10"/>
      <c r="CQ407" s="10"/>
      <c r="CR407" s="10"/>
      <c r="CS407" s="10"/>
      <c r="CT407" s="10"/>
      <c r="CU407" s="10"/>
      <c r="CV407" s="10"/>
      <c r="CW407" s="10"/>
      <c r="CX407" s="10"/>
      <c r="CY407" s="10"/>
      <c r="CZ407" s="10"/>
      <c r="DA407" s="10"/>
      <c r="DB407" s="10"/>
      <c r="DC407" s="10"/>
      <c r="DD407" s="10"/>
      <c r="DE407" s="10"/>
      <c r="DF407" s="10"/>
      <c r="DG407" s="10"/>
      <c r="DH407" s="10"/>
      <c r="DI407" s="10"/>
      <c r="DJ407" s="10"/>
      <c r="DK407" s="10"/>
      <c r="DL407" s="10"/>
      <c r="DM407" s="10"/>
      <c r="DN407" s="10"/>
      <c r="DO407" s="10"/>
      <c r="DP407" s="10"/>
    </row>
    <row r="408" spans="2:120" x14ac:dyDescent="0.25">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c r="CA408" s="10"/>
      <c r="CB408" s="10"/>
      <c r="CC408" s="10"/>
      <c r="CD408" s="10"/>
      <c r="CE408" s="10"/>
      <c r="CF408" s="10"/>
      <c r="CG408" s="10"/>
      <c r="CH408" s="10"/>
      <c r="CI408" s="10"/>
      <c r="CJ408" s="10"/>
      <c r="CK408" s="10"/>
      <c r="CL408" s="10"/>
      <c r="CM408" s="10"/>
      <c r="CN408" s="10"/>
      <c r="CO408" s="10"/>
      <c r="CP408" s="10"/>
      <c r="CQ408" s="10"/>
      <c r="CR408" s="10"/>
      <c r="CS408" s="10"/>
      <c r="CT408" s="10"/>
      <c r="CU408" s="10"/>
      <c r="CV408" s="10"/>
      <c r="CW408" s="10"/>
      <c r="CX408" s="10"/>
      <c r="CY408" s="10"/>
      <c r="CZ408" s="10"/>
      <c r="DA408" s="10"/>
      <c r="DB408" s="10"/>
      <c r="DC408" s="10"/>
      <c r="DD408" s="10"/>
      <c r="DE408" s="10"/>
      <c r="DF408" s="10"/>
      <c r="DG408" s="10"/>
      <c r="DH408" s="10"/>
      <c r="DI408" s="10"/>
      <c r="DJ408" s="10"/>
      <c r="DK408" s="10"/>
      <c r="DL408" s="10"/>
      <c r="DM408" s="10"/>
      <c r="DN408" s="10"/>
      <c r="DO408" s="10"/>
      <c r="DP408" s="10"/>
    </row>
    <row r="409" spans="2:120" x14ac:dyDescent="0.25">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c r="CA409" s="10"/>
      <c r="CB409" s="10"/>
      <c r="CC409" s="10"/>
      <c r="CD409" s="10"/>
      <c r="CE409" s="10"/>
      <c r="CF409" s="10"/>
      <c r="CG409" s="10"/>
      <c r="CH409" s="10"/>
      <c r="CI409" s="10"/>
      <c r="CJ409" s="10"/>
      <c r="CK409" s="10"/>
      <c r="CL409" s="10"/>
      <c r="CM409" s="10"/>
      <c r="CN409" s="10"/>
      <c r="CO409" s="10"/>
      <c r="CP409" s="10"/>
      <c r="CQ409" s="10"/>
      <c r="CR409" s="10"/>
      <c r="CS409" s="10"/>
      <c r="CT409" s="10"/>
      <c r="CU409" s="10"/>
      <c r="CV409" s="10"/>
      <c r="CW409" s="10"/>
      <c r="CX409" s="10"/>
      <c r="CY409" s="10"/>
      <c r="CZ409" s="10"/>
      <c r="DA409" s="10"/>
      <c r="DB409" s="10"/>
      <c r="DC409" s="10"/>
      <c r="DD409" s="10"/>
      <c r="DE409" s="10"/>
      <c r="DF409" s="10"/>
      <c r="DG409" s="10"/>
      <c r="DH409" s="10"/>
      <c r="DI409" s="10"/>
      <c r="DJ409" s="10"/>
      <c r="DK409" s="10"/>
      <c r="DL409" s="10"/>
      <c r="DM409" s="10"/>
      <c r="DN409" s="10"/>
      <c r="DO409" s="10"/>
      <c r="DP409" s="10"/>
    </row>
    <row r="410" spans="2:120" x14ac:dyDescent="0.25">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c r="BZ410" s="10"/>
      <c r="CA410" s="10"/>
      <c r="CB410" s="10"/>
      <c r="CC410" s="10"/>
      <c r="CD410" s="10"/>
      <c r="CE410" s="10"/>
      <c r="CF410" s="10"/>
      <c r="CG410" s="10"/>
      <c r="CH410" s="10"/>
      <c r="CI410" s="10"/>
      <c r="CJ410" s="10"/>
      <c r="CK410" s="10"/>
      <c r="CL410" s="10"/>
      <c r="CM410" s="10"/>
      <c r="CN410" s="10"/>
      <c r="CO410" s="10"/>
      <c r="CP410" s="10"/>
      <c r="CQ410" s="10"/>
      <c r="CR410" s="10"/>
      <c r="CS410" s="10"/>
      <c r="CT410" s="10"/>
      <c r="CU410" s="10"/>
      <c r="CV410" s="10"/>
      <c r="CW410" s="10"/>
      <c r="CX410" s="10"/>
      <c r="CY410" s="10"/>
      <c r="CZ410" s="10"/>
      <c r="DA410" s="10"/>
      <c r="DB410" s="10"/>
      <c r="DC410" s="10"/>
      <c r="DD410" s="10"/>
      <c r="DE410" s="10"/>
      <c r="DF410" s="10"/>
      <c r="DG410" s="10"/>
      <c r="DH410" s="10"/>
      <c r="DI410" s="10"/>
      <c r="DJ410" s="10"/>
      <c r="DK410" s="10"/>
      <c r="DL410" s="10"/>
      <c r="DM410" s="10"/>
      <c r="DN410" s="10"/>
      <c r="DO410" s="10"/>
      <c r="DP410" s="10"/>
    </row>
    <row r="411" spans="2:120" x14ac:dyDescent="0.25">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c r="CC411" s="10"/>
      <c r="CD411" s="10"/>
      <c r="CE411" s="10"/>
      <c r="CF411" s="10"/>
      <c r="CG411" s="10"/>
      <c r="CH411" s="10"/>
      <c r="CI411" s="10"/>
      <c r="CJ411" s="10"/>
      <c r="CK411" s="10"/>
      <c r="CL411" s="10"/>
      <c r="CM411" s="10"/>
      <c r="CN411" s="10"/>
      <c r="CO411" s="10"/>
      <c r="CP411" s="10"/>
      <c r="CQ411" s="10"/>
      <c r="CR411" s="10"/>
      <c r="CS411" s="10"/>
      <c r="CT411" s="10"/>
      <c r="CU411" s="10"/>
      <c r="CV411" s="10"/>
      <c r="CW411" s="10"/>
      <c r="CX411" s="10"/>
      <c r="CY411" s="10"/>
      <c r="CZ411" s="10"/>
      <c r="DA411" s="10"/>
      <c r="DB411" s="10"/>
      <c r="DC411" s="10"/>
      <c r="DD411" s="10"/>
      <c r="DE411" s="10"/>
      <c r="DF411" s="10"/>
      <c r="DG411" s="10"/>
      <c r="DH411" s="10"/>
      <c r="DI411" s="10"/>
      <c r="DJ411" s="10"/>
      <c r="DK411" s="10"/>
      <c r="DL411" s="10"/>
      <c r="DM411" s="10"/>
      <c r="DN411" s="10"/>
      <c r="DO411" s="10"/>
      <c r="DP411" s="10"/>
    </row>
    <row r="412" spans="2:120" x14ac:dyDescent="0.25">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c r="CC412" s="10"/>
      <c r="CD412" s="10"/>
      <c r="CE412" s="10"/>
      <c r="CF412" s="10"/>
      <c r="CG412" s="10"/>
      <c r="CH412" s="10"/>
      <c r="CI412" s="10"/>
      <c r="CJ412" s="10"/>
      <c r="CK412" s="10"/>
      <c r="CL412" s="10"/>
      <c r="CM412" s="10"/>
      <c r="CN412" s="10"/>
      <c r="CO412" s="10"/>
      <c r="CP412" s="10"/>
      <c r="CQ412" s="10"/>
      <c r="CR412" s="10"/>
      <c r="CS412" s="10"/>
      <c r="CT412" s="10"/>
      <c r="CU412" s="10"/>
      <c r="CV412" s="10"/>
      <c r="CW412" s="10"/>
      <c r="CX412" s="10"/>
      <c r="CY412" s="10"/>
      <c r="CZ412" s="10"/>
      <c r="DA412" s="10"/>
      <c r="DB412" s="10"/>
      <c r="DC412" s="10"/>
      <c r="DD412" s="10"/>
      <c r="DE412" s="10"/>
      <c r="DF412" s="10"/>
      <c r="DG412" s="10"/>
      <c r="DH412" s="10"/>
      <c r="DI412" s="10"/>
      <c r="DJ412" s="10"/>
      <c r="DK412" s="10"/>
      <c r="DL412" s="10"/>
      <c r="DM412" s="10"/>
      <c r="DN412" s="10"/>
      <c r="DO412" s="10"/>
      <c r="DP412" s="10"/>
    </row>
    <row r="413" spans="2:120" x14ac:dyDescent="0.25">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10"/>
      <c r="CD413" s="10"/>
      <c r="CE413" s="10"/>
      <c r="CF413" s="10"/>
      <c r="CG413" s="10"/>
      <c r="CH413" s="10"/>
      <c r="CI413" s="10"/>
      <c r="CJ413" s="10"/>
      <c r="CK413" s="10"/>
      <c r="CL413" s="10"/>
      <c r="CM413" s="10"/>
      <c r="CN413" s="10"/>
      <c r="CO413" s="10"/>
      <c r="CP413" s="10"/>
      <c r="CQ413" s="10"/>
      <c r="CR413" s="10"/>
      <c r="CS413" s="10"/>
      <c r="CT413" s="10"/>
      <c r="CU413" s="10"/>
      <c r="CV413" s="10"/>
      <c r="CW413" s="10"/>
      <c r="CX413" s="10"/>
      <c r="CY413" s="10"/>
      <c r="CZ413" s="10"/>
      <c r="DA413" s="10"/>
      <c r="DB413" s="10"/>
      <c r="DC413" s="10"/>
      <c r="DD413" s="10"/>
      <c r="DE413" s="10"/>
      <c r="DF413" s="10"/>
      <c r="DG413" s="10"/>
      <c r="DH413" s="10"/>
      <c r="DI413" s="10"/>
      <c r="DJ413" s="10"/>
      <c r="DK413" s="10"/>
      <c r="DL413" s="10"/>
      <c r="DM413" s="10"/>
      <c r="DN413" s="10"/>
      <c r="DO413" s="10"/>
      <c r="DP413" s="10"/>
    </row>
    <row r="414" spans="2:120" x14ac:dyDescent="0.25">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10"/>
      <c r="CD414" s="10"/>
      <c r="CE414" s="10"/>
      <c r="CF414" s="10"/>
      <c r="CG414" s="10"/>
      <c r="CH414" s="10"/>
      <c r="CI414" s="10"/>
      <c r="CJ414" s="10"/>
      <c r="CK414" s="10"/>
      <c r="CL414" s="10"/>
      <c r="CM414" s="10"/>
      <c r="CN414" s="10"/>
      <c r="CO414" s="10"/>
      <c r="CP414" s="10"/>
      <c r="CQ414" s="10"/>
      <c r="CR414" s="10"/>
      <c r="CS414" s="10"/>
      <c r="CT414" s="10"/>
      <c r="CU414" s="10"/>
      <c r="CV414" s="10"/>
      <c r="CW414" s="10"/>
      <c r="CX414" s="10"/>
      <c r="CY414" s="10"/>
      <c r="CZ414" s="10"/>
      <c r="DA414" s="10"/>
      <c r="DB414" s="10"/>
      <c r="DC414" s="10"/>
      <c r="DD414" s="10"/>
      <c r="DE414" s="10"/>
      <c r="DF414" s="10"/>
      <c r="DG414" s="10"/>
      <c r="DH414" s="10"/>
      <c r="DI414" s="10"/>
      <c r="DJ414" s="10"/>
      <c r="DK414" s="10"/>
      <c r="DL414" s="10"/>
      <c r="DM414" s="10"/>
      <c r="DN414" s="10"/>
      <c r="DO414" s="10"/>
      <c r="DP414" s="10"/>
    </row>
    <row r="415" spans="2:120" x14ac:dyDescent="0.25">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10"/>
      <c r="CD415" s="10"/>
      <c r="CE415" s="10"/>
      <c r="CF415" s="10"/>
      <c r="CG415" s="10"/>
      <c r="CH415" s="10"/>
      <c r="CI415" s="10"/>
      <c r="CJ415" s="10"/>
      <c r="CK415" s="10"/>
      <c r="CL415" s="10"/>
      <c r="CM415" s="10"/>
      <c r="CN415" s="10"/>
      <c r="CO415" s="10"/>
      <c r="CP415" s="10"/>
      <c r="CQ415" s="10"/>
      <c r="CR415" s="10"/>
      <c r="CS415" s="10"/>
      <c r="CT415" s="10"/>
      <c r="CU415" s="10"/>
      <c r="CV415" s="10"/>
      <c r="CW415" s="10"/>
      <c r="CX415" s="10"/>
      <c r="CY415" s="10"/>
      <c r="CZ415" s="10"/>
      <c r="DA415" s="10"/>
      <c r="DB415" s="10"/>
      <c r="DC415" s="10"/>
      <c r="DD415" s="10"/>
      <c r="DE415" s="10"/>
      <c r="DF415" s="10"/>
      <c r="DG415" s="10"/>
      <c r="DH415" s="10"/>
      <c r="DI415" s="10"/>
      <c r="DJ415" s="10"/>
      <c r="DK415" s="10"/>
      <c r="DL415" s="10"/>
      <c r="DM415" s="10"/>
      <c r="DN415" s="10"/>
      <c r="DO415" s="10"/>
      <c r="DP415" s="10"/>
    </row>
    <row r="416" spans="2:120" x14ac:dyDescent="0.25">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c r="CA416" s="10"/>
      <c r="CB416" s="10"/>
      <c r="CC416" s="10"/>
      <c r="CD416" s="10"/>
      <c r="CE416" s="10"/>
      <c r="CF416" s="10"/>
      <c r="CG416" s="10"/>
      <c r="CH416" s="10"/>
      <c r="CI416" s="10"/>
      <c r="CJ416" s="10"/>
      <c r="CK416" s="10"/>
      <c r="CL416" s="10"/>
      <c r="CM416" s="10"/>
      <c r="CN416" s="10"/>
      <c r="CO416" s="10"/>
      <c r="CP416" s="10"/>
      <c r="CQ416" s="10"/>
      <c r="CR416" s="10"/>
      <c r="CS416" s="10"/>
      <c r="CT416" s="10"/>
      <c r="CU416" s="10"/>
      <c r="CV416" s="10"/>
      <c r="CW416" s="10"/>
      <c r="CX416" s="10"/>
      <c r="CY416" s="10"/>
      <c r="CZ416" s="10"/>
      <c r="DA416" s="10"/>
      <c r="DB416" s="10"/>
      <c r="DC416" s="10"/>
      <c r="DD416" s="10"/>
      <c r="DE416" s="10"/>
      <c r="DF416" s="10"/>
      <c r="DG416" s="10"/>
      <c r="DH416" s="10"/>
      <c r="DI416" s="10"/>
      <c r="DJ416" s="10"/>
      <c r="DK416" s="10"/>
      <c r="DL416" s="10"/>
      <c r="DM416" s="10"/>
      <c r="DN416" s="10"/>
      <c r="DO416" s="10"/>
      <c r="DP416" s="10"/>
    </row>
    <row r="417" spans="2:120" x14ac:dyDescent="0.25">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c r="BZ417" s="10"/>
      <c r="CA417" s="10"/>
      <c r="CB417" s="10"/>
      <c r="CC417" s="10"/>
      <c r="CD417" s="10"/>
      <c r="CE417" s="10"/>
      <c r="CF417" s="10"/>
      <c r="CG417" s="10"/>
      <c r="CH417" s="10"/>
      <c r="CI417" s="10"/>
      <c r="CJ417" s="10"/>
      <c r="CK417" s="10"/>
      <c r="CL417" s="10"/>
      <c r="CM417" s="10"/>
      <c r="CN417" s="10"/>
      <c r="CO417" s="10"/>
      <c r="CP417" s="10"/>
      <c r="CQ417" s="10"/>
      <c r="CR417" s="10"/>
      <c r="CS417" s="10"/>
      <c r="CT417" s="10"/>
      <c r="CU417" s="10"/>
      <c r="CV417" s="10"/>
      <c r="CW417" s="10"/>
      <c r="CX417" s="10"/>
      <c r="CY417" s="10"/>
      <c r="CZ417" s="10"/>
      <c r="DA417" s="10"/>
      <c r="DB417" s="10"/>
      <c r="DC417" s="10"/>
      <c r="DD417" s="10"/>
      <c r="DE417" s="10"/>
      <c r="DF417" s="10"/>
      <c r="DG417" s="10"/>
      <c r="DH417" s="10"/>
      <c r="DI417" s="10"/>
      <c r="DJ417" s="10"/>
      <c r="DK417" s="10"/>
      <c r="DL417" s="10"/>
      <c r="DM417" s="10"/>
      <c r="DN417" s="10"/>
      <c r="DO417" s="10"/>
      <c r="DP417" s="10"/>
    </row>
    <row r="418" spans="2:120" x14ac:dyDescent="0.25">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c r="BZ418" s="10"/>
      <c r="CA418" s="10"/>
      <c r="CB418" s="10"/>
      <c r="CC418" s="10"/>
      <c r="CD418" s="10"/>
      <c r="CE418" s="10"/>
      <c r="CF418" s="10"/>
      <c r="CG418" s="10"/>
      <c r="CH418" s="10"/>
      <c r="CI418" s="10"/>
      <c r="CJ418" s="10"/>
      <c r="CK418" s="10"/>
      <c r="CL418" s="10"/>
      <c r="CM418" s="10"/>
      <c r="CN418" s="10"/>
      <c r="CO418" s="10"/>
      <c r="CP418" s="10"/>
      <c r="CQ418" s="10"/>
      <c r="CR418" s="10"/>
      <c r="CS418" s="10"/>
      <c r="CT418" s="10"/>
      <c r="CU418" s="10"/>
      <c r="CV418" s="10"/>
      <c r="CW418" s="10"/>
      <c r="CX418" s="10"/>
      <c r="CY418" s="10"/>
      <c r="CZ418" s="10"/>
      <c r="DA418" s="10"/>
      <c r="DB418" s="10"/>
      <c r="DC418" s="10"/>
      <c r="DD418" s="10"/>
      <c r="DE418" s="10"/>
      <c r="DF418" s="10"/>
      <c r="DG418" s="10"/>
      <c r="DH418" s="10"/>
      <c r="DI418" s="10"/>
      <c r="DJ418" s="10"/>
      <c r="DK418" s="10"/>
      <c r="DL418" s="10"/>
      <c r="DM418" s="10"/>
      <c r="DN418" s="10"/>
      <c r="DO418" s="10"/>
      <c r="DP418" s="10"/>
    </row>
    <row r="419" spans="2:120" x14ac:dyDescent="0.25">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c r="BZ419" s="10"/>
      <c r="CA419" s="10"/>
      <c r="CB419" s="10"/>
      <c r="CC419" s="10"/>
      <c r="CD419" s="10"/>
      <c r="CE419" s="10"/>
      <c r="CF419" s="10"/>
      <c r="CG419" s="10"/>
      <c r="CH419" s="10"/>
      <c r="CI419" s="10"/>
      <c r="CJ419" s="10"/>
      <c r="CK419" s="10"/>
      <c r="CL419" s="10"/>
      <c r="CM419" s="10"/>
      <c r="CN419" s="10"/>
      <c r="CO419" s="10"/>
      <c r="CP419" s="10"/>
      <c r="CQ419" s="10"/>
      <c r="CR419" s="10"/>
      <c r="CS419" s="10"/>
      <c r="CT419" s="10"/>
      <c r="CU419" s="10"/>
      <c r="CV419" s="10"/>
      <c r="CW419" s="10"/>
      <c r="CX419" s="10"/>
      <c r="CY419" s="10"/>
      <c r="CZ419" s="10"/>
      <c r="DA419" s="10"/>
      <c r="DB419" s="10"/>
      <c r="DC419" s="10"/>
      <c r="DD419" s="10"/>
      <c r="DE419" s="10"/>
      <c r="DF419" s="10"/>
      <c r="DG419" s="10"/>
      <c r="DH419" s="10"/>
      <c r="DI419" s="10"/>
      <c r="DJ419" s="10"/>
      <c r="DK419" s="10"/>
      <c r="DL419" s="10"/>
      <c r="DM419" s="10"/>
      <c r="DN419" s="10"/>
      <c r="DO419" s="10"/>
      <c r="DP419" s="10"/>
    </row>
    <row r="420" spans="2:120" x14ac:dyDescent="0.25">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c r="BZ420" s="10"/>
      <c r="CA420" s="10"/>
      <c r="CB420" s="10"/>
      <c r="CC420" s="10"/>
      <c r="CD420" s="10"/>
      <c r="CE420" s="10"/>
      <c r="CF420" s="10"/>
      <c r="CG420" s="10"/>
      <c r="CH420" s="10"/>
      <c r="CI420" s="10"/>
      <c r="CJ420" s="10"/>
      <c r="CK420" s="10"/>
      <c r="CL420" s="10"/>
      <c r="CM420" s="10"/>
      <c r="CN420" s="10"/>
      <c r="CO420" s="10"/>
      <c r="CP420" s="10"/>
      <c r="CQ420" s="10"/>
      <c r="CR420" s="10"/>
      <c r="CS420" s="10"/>
      <c r="CT420" s="10"/>
      <c r="CU420" s="10"/>
      <c r="CV420" s="10"/>
      <c r="CW420" s="10"/>
      <c r="CX420" s="10"/>
      <c r="CY420" s="10"/>
      <c r="CZ420" s="10"/>
      <c r="DA420" s="10"/>
      <c r="DB420" s="10"/>
      <c r="DC420" s="10"/>
      <c r="DD420" s="10"/>
      <c r="DE420" s="10"/>
      <c r="DF420" s="10"/>
      <c r="DG420" s="10"/>
      <c r="DH420" s="10"/>
      <c r="DI420" s="10"/>
      <c r="DJ420" s="10"/>
      <c r="DK420" s="10"/>
      <c r="DL420" s="10"/>
      <c r="DM420" s="10"/>
      <c r="DN420" s="10"/>
      <c r="DO420" s="10"/>
      <c r="DP420" s="10"/>
    </row>
    <row r="421" spans="2:120" x14ac:dyDescent="0.25">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10"/>
      <c r="CD421" s="10"/>
      <c r="CE421" s="10"/>
      <c r="CF421" s="10"/>
      <c r="CG421" s="10"/>
      <c r="CH421" s="10"/>
      <c r="CI421" s="10"/>
      <c r="CJ421" s="10"/>
      <c r="CK421" s="10"/>
      <c r="CL421" s="10"/>
      <c r="CM421" s="10"/>
      <c r="CN421" s="10"/>
      <c r="CO421" s="10"/>
      <c r="CP421" s="10"/>
      <c r="CQ421" s="10"/>
      <c r="CR421" s="10"/>
      <c r="CS421" s="10"/>
      <c r="CT421" s="10"/>
      <c r="CU421" s="10"/>
      <c r="CV421" s="10"/>
      <c r="CW421" s="10"/>
      <c r="CX421" s="10"/>
      <c r="CY421" s="10"/>
      <c r="CZ421" s="10"/>
      <c r="DA421" s="10"/>
      <c r="DB421" s="10"/>
      <c r="DC421" s="10"/>
      <c r="DD421" s="10"/>
      <c r="DE421" s="10"/>
      <c r="DF421" s="10"/>
      <c r="DG421" s="10"/>
      <c r="DH421" s="10"/>
      <c r="DI421" s="10"/>
      <c r="DJ421" s="10"/>
      <c r="DK421" s="10"/>
      <c r="DL421" s="10"/>
      <c r="DM421" s="10"/>
      <c r="DN421" s="10"/>
      <c r="DO421" s="10"/>
      <c r="DP421" s="10"/>
    </row>
    <row r="422" spans="2:120" x14ac:dyDescent="0.25">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10"/>
      <c r="CD422" s="10"/>
      <c r="CE422" s="10"/>
      <c r="CF422" s="10"/>
      <c r="CG422" s="10"/>
      <c r="CH422" s="10"/>
      <c r="CI422" s="10"/>
      <c r="CJ422" s="10"/>
      <c r="CK422" s="10"/>
      <c r="CL422" s="10"/>
      <c r="CM422" s="10"/>
      <c r="CN422" s="10"/>
      <c r="CO422" s="10"/>
      <c r="CP422" s="10"/>
      <c r="CQ422" s="10"/>
      <c r="CR422" s="10"/>
      <c r="CS422" s="10"/>
      <c r="CT422" s="10"/>
      <c r="CU422" s="10"/>
      <c r="CV422" s="10"/>
      <c r="CW422" s="10"/>
      <c r="CX422" s="10"/>
      <c r="CY422" s="10"/>
      <c r="CZ422" s="10"/>
      <c r="DA422" s="10"/>
      <c r="DB422" s="10"/>
      <c r="DC422" s="10"/>
      <c r="DD422" s="10"/>
      <c r="DE422" s="10"/>
      <c r="DF422" s="10"/>
      <c r="DG422" s="10"/>
      <c r="DH422" s="10"/>
      <c r="DI422" s="10"/>
      <c r="DJ422" s="10"/>
      <c r="DK422" s="10"/>
      <c r="DL422" s="10"/>
      <c r="DM422" s="10"/>
      <c r="DN422" s="10"/>
      <c r="DO422" s="10"/>
      <c r="DP422" s="10"/>
    </row>
    <row r="423" spans="2:120" x14ac:dyDescent="0.25">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c r="BZ423" s="10"/>
      <c r="CA423" s="10"/>
      <c r="CB423" s="10"/>
      <c r="CC423" s="10"/>
      <c r="CD423" s="10"/>
      <c r="CE423" s="10"/>
      <c r="CF423" s="10"/>
      <c r="CG423" s="10"/>
      <c r="CH423" s="10"/>
      <c r="CI423" s="10"/>
      <c r="CJ423" s="10"/>
      <c r="CK423" s="10"/>
      <c r="CL423" s="10"/>
      <c r="CM423" s="10"/>
      <c r="CN423" s="10"/>
      <c r="CO423" s="10"/>
      <c r="CP423" s="10"/>
      <c r="CQ423" s="10"/>
      <c r="CR423" s="10"/>
      <c r="CS423" s="10"/>
      <c r="CT423" s="10"/>
      <c r="CU423" s="10"/>
      <c r="CV423" s="10"/>
      <c r="CW423" s="10"/>
      <c r="CX423" s="10"/>
      <c r="CY423" s="10"/>
      <c r="CZ423" s="10"/>
      <c r="DA423" s="10"/>
      <c r="DB423" s="10"/>
      <c r="DC423" s="10"/>
      <c r="DD423" s="10"/>
      <c r="DE423" s="10"/>
      <c r="DF423" s="10"/>
      <c r="DG423" s="10"/>
      <c r="DH423" s="10"/>
      <c r="DI423" s="10"/>
      <c r="DJ423" s="10"/>
      <c r="DK423" s="10"/>
      <c r="DL423" s="10"/>
      <c r="DM423" s="10"/>
      <c r="DN423" s="10"/>
      <c r="DO423" s="10"/>
      <c r="DP423" s="10"/>
    </row>
    <row r="424" spans="2:120" x14ac:dyDescent="0.25">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c r="CC424" s="10"/>
      <c r="CD424" s="10"/>
      <c r="CE424" s="10"/>
      <c r="CF424" s="10"/>
      <c r="CG424" s="10"/>
      <c r="CH424" s="10"/>
      <c r="CI424" s="10"/>
      <c r="CJ424" s="10"/>
      <c r="CK424" s="10"/>
      <c r="CL424" s="10"/>
      <c r="CM424" s="10"/>
      <c r="CN424" s="10"/>
      <c r="CO424" s="10"/>
      <c r="CP424" s="10"/>
      <c r="CQ424" s="10"/>
      <c r="CR424" s="10"/>
      <c r="CS424" s="10"/>
      <c r="CT424" s="10"/>
      <c r="CU424" s="10"/>
      <c r="CV424" s="10"/>
      <c r="CW424" s="10"/>
      <c r="CX424" s="10"/>
      <c r="CY424" s="10"/>
      <c r="CZ424" s="10"/>
      <c r="DA424" s="10"/>
      <c r="DB424" s="10"/>
      <c r="DC424" s="10"/>
      <c r="DD424" s="10"/>
      <c r="DE424" s="10"/>
      <c r="DF424" s="10"/>
      <c r="DG424" s="10"/>
      <c r="DH424" s="10"/>
      <c r="DI424" s="10"/>
      <c r="DJ424" s="10"/>
      <c r="DK424" s="10"/>
      <c r="DL424" s="10"/>
      <c r="DM424" s="10"/>
      <c r="DN424" s="10"/>
      <c r="DO424" s="10"/>
      <c r="DP424" s="10"/>
    </row>
    <row r="425" spans="2:120" x14ac:dyDescent="0.25">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c r="BZ425" s="10"/>
      <c r="CA425" s="10"/>
      <c r="CB425" s="10"/>
      <c r="CC425" s="10"/>
      <c r="CD425" s="10"/>
      <c r="CE425" s="10"/>
      <c r="CF425" s="10"/>
      <c r="CG425" s="10"/>
      <c r="CH425" s="10"/>
      <c r="CI425" s="10"/>
      <c r="CJ425" s="10"/>
      <c r="CK425" s="10"/>
      <c r="CL425" s="10"/>
      <c r="CM425" s="10"/>
      <c r="CN425" s="10"/>
      <c r="CO425" s="10"/>
      <c r="CP425" s="10"/>
      <c r="CQ425" s="10"/>
      <c r="CR425" s="10"/>
      <c r="CS425" s="10"/>
      <c r="CT425" s="10"/>
      <c r="CU425" s="10"/>
      <c r="CV425" s="10"/>
      <c r="CW425" s="10"/>
      <c r="CX425" s="10"/>
      <c r="CY425" s="10"/>
      <c r="CZ425" s="10"/>
      <c r="DA425" s="10"/>
      <c r="DB425" s="10"/>
      <c r="DC425" s="10"/>
      <c r="DD425" s="10"/>
      <c r="DE425" s="10"/>
      <c r="DF425" s="10"/>
      <c r="DG425" s="10"/>
      <c r="DH425" s="10"/>
      <c r="DI425" s="10"/>
      <c r="DJ425" s="10"/>
      <c r="DK425" s="10"/>
      <c r="DL425" s="10"/>
      <c r="DM425" s="10"/>
      <c r="DN425" s="10"/>
      <c r="DO425" s="10"/>
      <c r="DP425" s="10"/>
    </row>
    <row r="426" spans="2:120" x14ac:dyDescent="0.25">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c r="BZ426" s="10"/>
      <c r="CA426" s="10"/>
      <c r="CB426" s="10"/>
      <c r="CC426" s="10"/>
      <c r="CD426" s="10"/>
      <c r="CE426" s="10"/>
      <c r="CF426" s="10"/>
      <c r="CG426" s="10"/>
      <c r="CH426" s="10"/>
      <c r="CI426" s="10"/>
      <c r="CJ426" s="10"/>
      <c r="CK426" s="10"/>
      <c r="CL426" s="10"/>
      <c r="CM426" s="10"/>
      <c r="CN426" s="10"/>
      <c r="CO426" s="10"/>
      <c r="CP426" s="10"/>
      <c r="CQ426" s="10"/>
      <c r="CR426" s="10"/>
      <c r="CS426" s="10"/>
      <c r="CT426" s="10"/>
      <c r="CU426" s="10"/>
      <c r="CV426" s="10"/>
      <c r="CW426" s="10"/>
      <c r="CX426" s="10"/>
      <c r="CY426" s="10"/>
      <c r="CZ426" s="10"/>
      <c r="DA426" s="10"/>
      <c r="DB426" s="10"/>
      <c r="DC426" s="10"/>
      <c r="DD426" s="10"/>
      <c r="DE426" s="10"/>
      <c r="DF426" s="10"/>
      <c r="DG426" s="10"/>
      <c r="DH426" s="10"/>
      <c r="DI426" s="10"/>
      <c r="DJ426" s="10"/>
      <c r="DK426" s="10"/>
      <c r="DL426" s="10"/>
      <c r="DM426" s="10"/>
      <c r="DN426" s="10"/>
      <c r="DO426" s="10"/>
      <c r="DP426" s="10"/>
    </row>
    <row r="427" spans="2:120" x14ac:dyDescent="0.25">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c r="CA427" s="10"/>
      <c r="CB427" s="10"/>
      <c r="CC427" s="10"/>
      <c r="CD427" s="10"/>
      <c r="CE427" s="10"/>
      <c r="CF427" s="10"/>
      <c r="CG427" s="10"/>
      <c r="CH427" s="10"/>
      <c r="CI427" s="10"/>
      <c r="CJ427" s="10"/>
      <c r="CK427" s="10"/>
      <c r="CL427" s="10"/>
      <c r="CM427" s="10"/>
      <c r="CN427" s="10"/>
      <c r="CO427" s="10"/>
      <c r="CP427" s="10"/>
      <c r="CQ427" s="10"/>
      <c r="CR427" s="10"/>
      <c r="CS427" s="10"/>
      <c r="CT427" s="10"/>
      <c r="CU427" s="10"/>
      <c r="CV427" s="10"/>
      <c r="CW427" s="10"/>
      <c r="CX427" s="10"/>
      <c r="CY427" s="10"/>
      <c r="CZ427" s="10"/>
      <c r="DA427" s="10"/>
      <c r="DB427" s="10"/>
      <c r="DC427" s="10"/>
      <c r="DD427" s="10"/>
      <c r="DE427" s="10"/>
      <c r="DF427" s="10"/>
      <c r="DG427" s="10"/>
      <c r="DH427" s="10"/>
      <c r="DI427" s="10"/>
      <c r="DJ427" s="10"/>
      <c r="DK427" s="10"/>
      <c r="DL427" s="10"/>
      <c r="DM427" s="10"/>
      <c r="DN427" s="10"/>
      <c r="DO427" s="10"/>
      <c r="DP427" s="10"/>
    </row>
    <row r="428" spans="2:120" x14ac:dyDescent="0.25">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10"/>
      <c r="CD428" s="10"/>
      <c r="CE428" s="10"/>
      <c r="CF428" s="10"/>
      <c r="CG428" s="10"/>
      <c r="CH428" s="10"/>
      <c r="CI428" s="10"/>
      <c r="CJ428" s="10"/>
      <c r="CK428" s="10"/>
      <c r="CL428" s="10"/>
      <c r="CM428" s="10"/>
      <c r="CN428" s="10"/>
      <c r="CO428" s="10"/>
      <c r="CP428" s="10"/>
      <c r="CQ428" s="10"/>
      <c r="CR428" s="10"/>
      <c r="CS428" s="10"/>
      <c r="CT428" s="10"/>
      <c r="CU428" s="10"/>
      <c r="CV428" s="10"/>
      <c r="CW428" s="10"/>
      <c r="CX428" s="10"/>
      <c r="CY428" s="10"/>
      <c r="CZ428" s="10"/>
      <c r="DA428" s="10"/>
      <c r="DB428" s="10"/>
      <c r="DC428" s="10"/>
      <c r="DD428" s="10"/>
      <c r="DE428" s="10"/>
      <c r="DF428" s="10"/>
      <c r="DG428" s="10"/>
      <c r="DH428" s="10"/>
      <c r="DI428" s="10"/>
      <c r="DJ428" s="10"/>
      <c r="DK428" s="10"/>
      <c r="DL428" s="10"/>
      <c r="DM428" s="10"/>
      <c r="DN428" s="10"/>
      <c r="DO428" s="10"/>
      <c r="DP428" s="10"/>
    </row>
    <row r="429" spans="2:120" x14ac:dyDescent="0.25">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c r="CA429" s="10"/>
      <c r="CB429" s="10"/>
      <c r="CC429" s="10"/>
      <c r="CD429" s="10"/>
      <c r="CE429" s="10"/>
      <c r="CF429" s="10"/>
      <c r="CG429" s="10"/>
      <c r="CH429" s="10"/>
      <c r="CI429" s="10"/>
      <c r="CJ429" s="10"/>
      <c r="CK429" s="10"/>
      <c r="CL429" s="10"/>
      <c r="CM429" s="10"/>
      <c r="CN429" s="10"/>
      <c r="CO429" s="10"/>
      <c r="CP429" s="10"/>
      <c r="CQ429" s="10"/>
      <c r="CR429" s="10"/>
      <c r="CS429" s="10"/>
      <c r="CT429" s="10"/>
      <c r="CU429" s="10"/>
      <c r="CV429" s="10"/>
      <c r="CW429" s="10"/>
      <c r="CX429" s="10"/>
      <c r="CY429" s="10"/>
      <c r="CZ429" s="10"/>
      <c r="DA429" s="10"/>
      <c r="DB429" s="10"/>
      <c r="DC429" s="10"/>
      <c r="DD429" s="10"/>
      <c r="DE429" s="10"/>
      <c r="DF429" s="10"/>
      <c r="DG429" s="10"/>
      <c r="DH429" s="10"/>
      <c r="DI429" s="10"/>
      <c r="DJ429" s="10"/>
      <c r="DK429" s="10"/>
      <c r="DL429" s="10"/>
      <c r="DM429" s="10"/>
      <c r="DN429" s="10"/>
      <c r="DO429" s="10"/>
      <c r="DP429" s="10"/>
    </row>
    <row r="430" spans="2:120" x14ac:dyDescent="0.25">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10"/>
      <c r="CD430" s="10"/>
      <c r="CE430" s="10"/>
      <c r="CF430" s="10"/>
      <c r="CG430" s="10"/>
      <c r="CH430" s="10"/>
      <c r="CI430" s="10"/>
      <c r="CJ430" s="10"/>
      <c r="CK430" s="10"/>
      <c r="CL430" s="10"/>
      <c r="CM430" s="10"/>
      <c r="CN430" s="10"/>
      <c r="CO430" s="10"/>
      <c r="CP430" s="10"/>
      <c r="CQ430" s="10"/>
      <c r="CR430" s="10"/>
      <c r="CS430" s="10"/>
      <c r="CT430" s="10"/>
      <c r="CU430" s="10"/>
      <c r="CV430" s="10"/>
      <c r="CW430" s="10"/>
      <c r="CX430" s="10"/>
      <c r="CY430" s="10"/>
      <c r="CZ430" s="10"/>
      <c r="DA430" s="10"/>
      <c r="DB430" s="10"/>
      <c r="DC430" s="10"/>
      <c r="DD430" s="10"/>
      <c r="DE430" s="10"/>
      <c r="DF430" s="10"/>
      <c r="DG430" s="10"/>
      <c r="DH430" s="10"/>
      <c r="DI430" s="10"/>
      <c r="DJ430" s="10"/>
      <c r="DK430" s="10"/>
      <c r="DL430" s="10"/>
      <c r="DM430" s="10"/>
      <c r="DN430" s="10"/>
      <c r="DO430" s="10"/>
      <c r="DP430" s="10"/>
    </row>
    <row r="431" spans="2:120" x14ac:dyDescent="0.25">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c r="BZ431" s="10"/>
      <c r="CA431" s="10"/>
      <c r="CB431" s="10"/>
      <c r="CC431" s="10"/>
      <c r="CD431" s="10"/>
      <c r="CE431" s="10"/>
      <c r="CF431" s="10"/>
      <c r="CG431" s="10"/>
      <c r="CH431" s="10"/>
      <c r="CI431" s="10"/>
      <c r="CJ431" s="10"/>
      <c r="CK431" s="10"/>
      <c r="CL431" s="10"/>
      <c r="CM431" s="10"/>
      <c r="CN431" s="10"/>
      <c r="CO431" s="10"/>
      <c r="CP431" s="10"/>
      <c r="CQ431" s="10"/>
      <c r="CR431" s="10"/>
      <c r="CS431" s="10"/>
      <c r="CT431" s="10"/>
      <c r="CU431" s="10"/>
      <c r="CV431" s="10"/>
      <c r="CW431" s="10"/>
      <c r="CX431" s="10"/>
      <c r="CY431" s="10"/>
      <c r="CZ431" s="10"/>
      <c r="DA431" s="10"/>
      <c r="DB431" s="10"/>
      <c r="DC431" s="10"/>
      <c r="DD431" s="10"/>
      <c r="DE431" s="10"/>
      <c r="DF431" s="10"/>
      <c r="DG431" s="10"/>
      <c r="DH431" s="10"/>
      <c r="DI431" s="10"/>
      <c r="DJ431" s="10"/>
      <c r="DK431" s="10"/>
      <c r="DL431" s="10"/>
      <c r="DM431" s="10"/>
      <c r="DN431" s="10"/>
      <c r="DO431" s="10"/>
      <c r="DP431" s="10"/>
    </row>
    <row r="432" spans="2:120" x14ac:dyDescent="0.25">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c r="BZ432" s="10"/>
      <c r="CA432" s="10"/>
      <c r="CB432" s="10"/>
      <c r="CC432" s="10"/>
      <c r="CD432" s="10"/>
      <c r="CE432" s="10"/>
      <c r="CF432" s="10"/>
      <c r="CG432" s="10"/>
      <c r="CH432" s="10"/>
      <c r="CI432" s="10"/>
      <c r="CJ432" s="10"/>
      <c r="CK432" s="10"/>
      <c r="CL432" s="10"/>
      <c r="CM432" s="10"/>
      <c r="CN432" s="10"/>
      <c r="CO432" s="10"/>
      <c r="CP432" s="10"/>
      <c r="CQ432" s="10"/>
      <c r="CR432" s="10"/>
      <c r="CS432" s="10"/>
      <c r="CT432" s="10"/>
      <c r="CU432" s="10"/>
      <c r="CV432" s="10"/>
      <c r="CW432" s="10"/>
      <c r="CX432" s="10"/>
      <c r="CY432" s="10"/>
      <c r="CZ432" s="10"/>
      <c r="DA432" s="10"/>
      <c r="DB432" s="10"/>
      <c r="DC432" s="10"/>
      <c r="DD432" s="10"/>
      <c r="DE432" s="10"/>
      <c r="DF432" s="10"/>
      <c r="DG432" s="10"/>
      <c r="DH432" s="10"/>
      <c r="DI432" s="10"/>
      <c r="DJ432" s="10"/>
      <c r="DK432" s="10"/>
      <c r="DL432" s="10"/>
      <c r="DM432" s="10"/>
      <c r="DN432" s="10"/>
      <c r="DO432" s="10"/>
      <c r="DP432" s="10"/>
    </row>
    <row r="433" spans="2:120" x14ac:dyDescent="0.25">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c r="BZ433" s="10"/>
      <c r="CA433" s="10"/>
      <c r="CB433" s="10"/>
      <c r="CC433" s="10"/>
      <c r="CD433" s="10"/>
      <c r="CE433" s="10"/>
      <c r="CF433" s="10"/>
      <c r="CG433" s="10"/>
      <c r="CH433" s="10"/>
      <c r="CI433" s="10"/>
      <c r="CJ433" s="10"/>
      <c r="CK433" s="10"/>
      <c r="CL433" s="10"/>
      <c r="CM433" s="10"/>
      <c r="CN433" s="10"/>
      <c r="CO433" s="10"/>
      <c r="CP433" s="10"/>
      <c r="CQ433" s="10"/>
      <c r="CR433" s="10"/>
      <c r="CS433" s="10"/>
      <c r="CT433" s="10"/>
      <c r="CU433" s="10"/>
      <c r="CV433" s="10"/>
      <c r="CW433" s="10"/>
      <c r="CX433" s="10"/>
      <c r="CY433" s="10"/>
      <c r="CZ433" s="10"/>
      <c r="DA433" s="10"/>
      <c r="DB433" s="10"/>
      <c r="DC433" s="10"/>
      <c r="DD433" s="10"/>
      <c r="DE433" s="10"/>
      <c r="DF433" s="10"/>
      <c r="DG433" s="10"/>
      <c r="DH433" s="10"/>
      <c r="DI433" s="10"/>
      <c r="DJ433" s="10"/>
      <c r="DK433" s="10"/>
      <c r="DL433" s="10"/>
      <c r="DM433" s="10"/>
      <c r="DN433" s="10"/>
      <c r="DO433" s="10"/>
      <c r="DP433" s="10"/>
    </row>
    <row r="434" spans="2:120" x14ac:dyDescent="0.25">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c r="CE434" s="10"/>
      <c r="CF434" s="10"/>
      <c r="CG434" s="10"/>
      <c r="CH434" s="10"/>
      <c r="CI434" s="10"/>
      <c r="CJ434" s="10"/>
      <c r="CK434" s="10"/>
      <c r="CL434" s="10"/>
      <c r="CM434" s="10"/>
      <c r="CN434" s="10"/>
      <c r="CO434" s="10"/>
      <c r="CP434" s="10"/>
      <c r="CQ434" s="10"/>
      <c r="CR434" s="10"/>
      <c r="CS434" s="10"/>
      <c r="CT434" s="10"/>
      <c r="CU434" s="10"/>
      <c r="CV434" s="10"/>
      <c r="CW434" s="10"/>
      <c r="CX434" s="10"/>
      <c r="CY434" s="10"/>
      <c r="CZ434" s="10"/>
      <c r="DA434" s="10"/>
      <c r="DB434" s="10"/>
      <c r="DC434" s="10"/>
      <c r="DD434" s="10"/>
      <c r="DE434" s="10"/>
      <c r="DF434" s="10"/>
      <c r="DG434" s="10"/>
      <c r="DH434" s="10"/>
      <c r="DI434" s="10"/>
      <c r="DJ434" s="10"/>
      <c r="DK434" s="10"/>
      <c r="DL434" s="10"/>
      <c r="DM434" s="10"/>
      <c r="DN434" s="10"/>
      <c r="DO434" s="10"/>
      <c r="DP434" s="10"/>
    </row>
    <row r="435" spans="2:120" x14ac:dyDescent="0.25">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c r="BZ435" s="10"/>
      <c r="CA435" s="10"/>
      <c r="CB435" s="10"/>
      <c r="CC435" s="10"/>
      <c r="CD435" s="10"/>
      <c r="CE435" s="10"/>
      <c r="CF435" s="10"/>
      <c r="CG435" s="10"/>
      <c r="CH435" s="10"/>
      <c r="CI435" s="10"/>
      <c r="CJ435" s="10"/>
      <c r="CK435" s="10"/>
      <c r="CL435" s="10"/>
      <c r="CM435" s="10"/>
      <c r="CN435" s="10"/>
      <c r="CO435" s="10"/>
      <c r="CP435" s="10"/>
      <c r="CQ435" s="10"/>
      <c r="CR435" s="10"/>
      <c r="CS435" s="10"/>
      <c r="CT435" s="10"/>
      <c r="CU435" s="10"/>
      <c r="CV435" s="10"/>
      <c r="CW435" s="10"/>
      <c r="CX435" s="10"/>
      <c r="CY435" s="10"/>
      <c r="CZ435" s="10"/>
      <c r="DA435" s="10"/>
      <c r="DB435" s="10"/>
      <c r="DC435" s="10"/>
      <c r="DD435" s="10"/>
      <c r="DE435" s="10"/>
      <c r="DF435" s="10"/>
      <c r="DG435" s="10"/>
      <c r="DH435" s="10"/>
      <c r="DI435" s="10"/>
      <c r="DJ435" s="10"/>
      <c r="DK435" s="10"/>
      <c r="DL435" s="10"/>
      <c r="DM435" s="10"/>
      <c r="DN435" s="10"/>
      <c r="DO435" s="10"/>
      <c r="DP435" s="10"/>
    </row>
    <row r="436" spans="2:120" x14ac:dyDescent="0.25">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c r="CA436" s="10"/>
      <c r="CB436" s="10"/>
      <c r="CC436" s="10"/>
      <c r="CD436" s="10"/>
      <c r="CE436" s="10"/>
      <c r="CF436" s="10"/>
      <c r="CG436" s="10"/>
      <c r="CH436" s="10"/>
      <c r="CI436" s="10"/>
      <c r="CJ436" s="10"/>
      <c r="CK436" s="10"/>
      <c r="CL436" s="10"/>
      <c r="CM436" s="10"/>
      <c r="CN436" s="10"/>
      <c r="CO436" s="10"/>
      <c r="CP436" s="10"/>
      <c r="CQ436" s="10"/>
      <c r="CR436" s="10"/>
      <c r="CS436" s="10"/>
      <c r="CT436" s="10"/>
      <c r="CU436" s="10"/>
      <c r="CV436" s="10"/>
      <c r="CW436" s="10"/>
      <c r="CX436" s="10"/>
      <c r="CY436" s="10"/>
      <c r="CZ436" s="10"/>
      <c r="DA436" s="10"/>
      <c r="DB436" s="10"/>
      <c r="DC436" s="10"/>
      <c r="DD436" s="10"/>
      <c r="DE436" s="10"/>
      <c r="DF436" s="10"/>
      <c r="DG436" s="10"/>
      <c r="DH436" s="10"/>
      <c r="DI436" s="10"/>
      <c r="DJ436" s="10"/>
      <c r="DK436" s="10"/>
      <c r="DL436" s="10"/>
      <c r="DM436" s="10"/>
      <c r="DN436" s="10"/>
      <c r="DO436" s="10"/>
      <c r="DP436" s="10"/>
    </row>
    <row r="437" spans="2:120" x14ac:dyDescent="0.25">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10"/>
      <c r="CD437" s="10"/>
      <c r="CE437" s="10"/>
      <c r="CF437" s="10"/>
      <c r="CG437" s="10"/>
      <c r="CH437" s="10"/>
      <c r="CI437" s="10"/>
      <c r="CJ437" s="10"/>
      <c r="CK437" s="10"/>
      <c r="CL437" s="10"/>
      <c r="CM437" s="10"/>
      <c r="CN437" s="10"/>
      <c r="CO437" s="10"/>
      <c r="CP437" s="10"/>
      <c r="CQ437" s="10"/>
      <c r="CR437" s="10"/>
      <c r="CS437" s="10"/>
      <c r="CT437" s="10"/>
      <c r="CU437" s="10"/>
      <c r="CV437" s="10"/>
      <c r="CW437" s="10"/>
      <c r="CX437" s="10"/>
      <c r="CY437" s="10"/>
      <c r="CZ437" s="10"/>
      <c r="DA437" s="10"/>
      <c r="DB437" s="10"/>
      <c r="DC437" s="10"/>
      <c r="DD437" s="10"/>
      <c r="DE437" s="10"/>
      <c r="DF437" s="10"/>
      <c r="DG437" s="10"/>
      <c r="DH437" s="10"/>
      <c r="DI437" s="10"/>
      <c r="DJ437" s="10"/>
      <c r="DK437" s="10"/>
      <c r="DL437" s="10"/>
      <c r="DM437" s="10"/>
      <c r="DN437" s="10"/>
      <c r="DO437" s="10"/>
      <c r="DP437" s="10"/>
    </row>
    <row r="438" spans="2:120" x14ac:dyDescent="0.25">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10"/>
      <c r="CD438" s="10"/>
      <c r="CE438" s="10"/>
      <c r="CF438" s="10"/>
      <c r="CG438" s="10"/>
      <c r="CH438" s="10"/>
      <c r="CI438" s="10"/>
      <c r="CJ438" s="10"/>
      <c r="CK438" s="10"/>
      <c r="CL438" s="10"/>
      <c r="CM438" s="10"/>
      <c r="CN438" s="10"/>
      <c r="CO438" s="10"/>
      <c r="CP438" s="10"/>
      <c r="CQ438" s="10"/>
      <c r="CR438" s="10"/>
      <c r="CS438" s="10"/>
      <c r="CT438" s="10"/>
      <c r="CU438" s="10"/>
      <c r="CV438" s="10"/>
      <c r="CW438" s="10"/>
      <c r="CX438" s="10"/>
      <c r="CY438" s="10"/>
      <c r="CZ438" s="10"/>
      <c r="DA438" s="10"/>
      <c r="DB438" s="10"/>
      <c r="DC438" s="10"/>
      <c r="DD438" s="10"/>
      <c r="DE438" s="10"/>
      <c r="DF438" s="10"/>
      <c r="DG438" s="10"/>
      <c r="DH438" s="10"/>
      <c r="DI438" s="10"/>
      <c r="DJ438" s="10"/>
      <c r="DK438" s="10"/>
      <c r="DL438" s="10"/>
      <c r="DM438" s="10"/>
      <c r="DN438" s="10"/>
      <c r="DO438" s="10"/>
      <c r="DP438" s="10"/>
    </row>
    <row r="439" spans="2:120" x14ac:dyDescent="0.25">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c r="CA439" s="10"/>
      <c r="CB439" s="10"/>
      <c r="CC439" s="10"/>
      <c r="CD439" s="10"/>
      <c r="CE439" s="10"/>
      <c r="CF439" s="10"/>
      <c r="CG439" s="10"/>
      <c r="CH439" s="10"/>
      <c r="CI439" s="10"/>
      <c r="CJ439" s="10"/>
      <c r="CK439" s="10"/>
      <c r="CL439" s="10"/>
      <c r="CM439" s="10"/>
      <c r="CN439" s="10"/>
      <c r="CO439" s="10"/>
      <c r="CP439" s="10"/>
      <c r="CQ439" s="10"/>
      <c r="CR439" s="10"/>
      <c r="CS439" s="10"/>
      <c r="CT439" s="10"/>
      <c r="CU439" s="10"/>
      <c r="CV439" s="10"/>
      <c r="CW439" s="10"/>
      <c r="CX439" s="10"/>
      <c r="CY439" s="10"/>
      <c r="CZ439" s="10"/>
      <c r="DA439" s="10"/>
      <c r="DB439" s="10"/>
      <c r="DC439" s="10"/>
      <c r="DD439" s="10"/>
      <c r="DE439" s="10"/>
      <c r="DF439" s="10"/>
      <c r="DG439" s="10"/>
      <c r="DH439" s="10"/>
      <c r="DI439" s="10"/>
      <c r="DJ439" s="10"/>
      <c r="DK439" s="10"/>
      <c r="DL439" s="10"/>
      <c r="DM439" s="10"/>
      <c r="DN439" s="10"/>
      <c r="DO439" s="10"/>
      <c r="DP439" s="10"/>
    </row>
    <row r="440" spans="2:120" x14ac:dyDescent="0.25">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c r="BZ440" s="10"/>
      <c r="CA440" s="10"/>
      <c r="CB440" s="10"/>
      <c r="CC440" s="10"/>
      <c r="CD440" s="10"/>
      <c r="CE440" s="10"/>
      <c r="CF440" s="10"/>
      <c r="CG440" s="10"/>
      <c r="CH440" s="10"/>
      <c r="CI440" s="10"/>
      <c r="CJ440" s="10"/>
      <c r="CK440" s="10"/>
      <c r="CL440" s="10"/>
      <c r="CM440" s="10"/>
      <c r="CN440" s="10"/>
      <c r="CO440" s="10"/>
      <c r="CP440" s="10"/>
      <c r="CQ440" s="10"/>
      <c r="CR440" s="10"/>
      <c r="CS440" s="10"/>
      <c r="CT440" s="10"/>
      <c r="CU440" s="10"/>
      <c r="CV440" s="10"/>
      <c r="CW440" s="10"/>
      <c r="CX440" s="10"/>
      <c r="CY440" s="10"/>
      <c r="CZ440" s="10"/>
      <c r="DA440" s="10"/>
      <c r="DB440" s="10"/>
      <c r="DC440" s="10"/>
      <c r="DD440" s="10"/>
      <c r="DE440" s="10"/>
      <c r="DF440" s="10"/>
      <c r="DG440" s="10"/>
      <c r="DH440" s="10"/>
      <c r="DI440" s="10"/>
      <c r="DJ440" s="10"/>
      <c r="DK440" s="10"/>
      <c r="DL440" s="10"/>
      <c r="DM440" s="10"/>
      <c r="DN440" s="10"/>
      <c r="DO440" s="10"/>
      <c r="DP440" s="10"/>
    </row>
    <row r="441" spans="2:120" x14ac:dyDescent="0.25">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c r="CA441" s="10"/>
      <c r="CB441" s="10"/>
      <c r="CC441" s="10"/>
      <c r="CD441" s="10"/>
      <c r="CE441" s="10"/>
      <c r="CF441" s="10"/>
      <c r="CG441" s="10"/>
      <c r="CH441" s="10"/>
      <c r="CI441" s="10"/>
      <c r="CJ441" s="10"/>
      <c r="CK441" s="10"/>
      <c r="CL441" s="10"/>
      <c r="CM441" s="10"/>
      <c r="CN441" s="10"/>
      <c r="CO441" s="10"/>
      <c r="CP441" s="10"/>
      <c r="CQ441" s="10"/>
      <c r="CR441" s="10"/>
      <c r="CS441" s="10"/>
      <c r="CT441" s="10"/>
      <c r="CU441" s="10"/>
      <c r="CV441" s="10"/>
      <c r="CW441" s="10"/>
      <c r="CX441" s="10"/>
      <c r="CY441" s="10"/>
      <c r="CZ441" s="10"/>
      <c r="DA441" s="10"/>
      <c r="DB441" s="10"/>
      <c r="DC441" s="10"/>
      <c r="DD441" s="10"/>
      <c r="DE441" s="10"/>
      <c r="DF441" s="10"/>
      <c r="DG441" s="10"/>
      <c r="DH441" s="10"/>
      <c r="DI441" s="10"/>
      <c r="DJ441" s="10"/>
      <c r="DK441" s="10"/>
      <c r="DL441" s="10"/>
      <c r="DM441" s="10"/>
      <c r="DN441" s="10"/>
      <c r="DO441" s="10"/>
      <c r="DP441" s="10"/>
    </row>
    <row r="442" spans="2:120" x14ac:dyDescent="0.25">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10"/>
      <c r="CD442" s="10"/>
      <c r="CE442" s="10"/>
      <c r="CF442" s="10"/>
      <c r="CG442" s="10"/>
      <c r="CH442" s="10"/>
      <c r="CI442" s="10"/>
      <c r="CJ442" s="10"/>
      <c r="CK442" s="10"/>
      <c r="CL442" s="10"/>
      <c r="CM442" s="10"/>
      <c r="CN442" s="10"/>
      <c r="CO442" s="10"/>
      <c r="CP442" s="10"/>
      <c r="CQ442" s="10"/>
      <c r="CR442" s="10"/>
      <c r="CS442" s="10"/>
      <c r="CT442" s="10"/>
      <c r="CU442" s="10"/>
      <c r="CV442" s="10"/>
      <c r="CW442" s="10"/>
      <c r="CX442" s="10"/>
      <c r="CY442" s="10"/>
      <c r="CZ442" s="10"/>
      <c r="DA442" s="10"/>
      <c r="DB442" s="10"/>
      <c r="DC442" s="10"/>
      <c r="DD442" s="10"/>
      <c r="DE442" s="10"/>
      <c r="DF442" s="10"/>
      <c r="DG442" s="10"/>
      <c r="DH442" s="10"/>
      <c r="DI442" s="10"/>
      <c r="DJ442" s="10"/>
      <c r="DK442" s="10"/>
      <c r="DL442" s="10"/>
      <c r="DM442" s="10"/>
      <c r="DN442" s="10"/>
      <c r="DO442" s="10"/>
      <c r="DP442" s="10"/>
    </row>
    <row r="443" spans="2:120" x14ac:dyDescent="0.25">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c r="BT443" s="10"/>
      <c r="BU443" s="10"/>
      <c r="BV443" s="10"/>
      <c r="BW443" s="10"/>
      <c r="BX443" s="10"/>
      <c r="BY443" s="10"/>
      <c r="BZ443" s="10"/>
      <c r="CA443" s="10"/>
      <c r="CB443" s="10"/>
      <c r="CC443" s="10"/>
      <c r="CD443" s="10"/>
      <c r="CE443" s="10"/>
      <c r="CF443" s="10"/>
      <c r="CG443" s="10"/>
      <c r="CH443" s="10"/>
      <c r="CI443" s="10"/>
      <c r="CJ443" s="10"/>
      <c r="CK443" s="10"/>
      <c r="CL443" s="10"/>
      <c r="CM443" s="10"/>
      <c r="CN443" s="10"/>
      <c r="CO443" s="10"/>
      <c r="CP443" s="10"/>
      <c r="CQ443" s="10"/>
      <c r="CR443" s="10"/>
      <c r="CS443" s="10"/>
      <c r="CT443" s="10"/>
      <c r="CU443" s="10"/>
      <c r="CV443" s="10"/>
      <c r="CW443" s="10"/>
      <c r="CX443" s="10"/>
      <c r="CY443" s="10"/>
      <c r="CZ443" s="10"/>
      <c r="DA443" s="10"/>
      <c r="DB443" s="10"/>
      <c r="DC443" s="10"/>
      <c r="DD443" s="10"/>
      <c r="DE443" s="10"/>
      <c r="DF443" s="10"/>
      <c r="DG443" s="10"/>
      <c r="DH443" s="10"/>
      <c r="DI443" s="10"/>
      <c r="DJ443" s="10"/>
      <c r="DK443" s="10"/>
      <c r="DL443" s="10"/>
      <c r="DM443" s="10"/>
      <c r="DN443" s="10"/>
      <c r="DO443" s="10"/>
      <c r="DP443" s="10"/>
    </row>
    <row r="444" spans="2:120" x14ac:dyDescent="0.25">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10"/>
      <c r="CD444" s="10"/>
      <c r="CE444" s="10"/>
      <c r="CF444" s="10"/>
      <c r="CG444" s="10"/>
      <c r="CH444" s="10"/>
      <c r="CI444" s="10"/>
      <c r="CJ444" s="10"/>
      <c r="CK444" s="10"/>
      <c r="CL444" s="10"/>
      <c r="CM444" s="10"/>
      <c r="CN444" s="10"/>
      <c r="CO444" s="10"/>
      <c r="CP444" s="10"/>
      <c r="CQ444" s="10"/>
      <c r="CR444" s="10"/>
      <c r="CS444" s="10"/>
      <c r="CT444" s="10"/>
      <c r="CU444" s="10"/>
      <c r="CV444" s="10"/>
      <c r="CW444" s="10"/>
      <c r="CX444" s="10"/>
      <c r="CY444" s="10"/>
      <c r="CZ444" s="10"/>
      <c r="DA444" s="10"/>
      <c r="DB444" s="10"/>
      <c r="DC444" s="10"/>
      <c r="DD444" s="10"/>
      <c r="DE444" s="10"/>
      <c r="DF444" s="10"/>
      <c r="DG444" s="10"/>
      <c r="DH444" s="10"/>
      <c r="DI444" s="10"/>
      <c r="DJ444" s="10"/>
      <c r="DK444" s="10"/>
      <c r="DL444" s="10"/>
      <c r="DM444" s="10"/>
      <c r="DN444" s="10"/>
      <c r="DO444" s="10"/>
      <c r="DP444" s="10"/>
    </row>
    <row r="445" spans="2:120" x14ac:dyDescent="0.25">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c r="BT445" s="10"/>
      <c r="BU445" s="10"/>
      <c r="BV445" s="10"/>
      <c r="BW445" s="10"/>
      <c r="BX445" s="10"/>
      <c r="BY445" s="10"/>
      <c r="BZ445" s="10"/>
      <c r="CA445" s="10"/>
      <c r="CB445" s="10"/>
      <c r="CC445" s="10"/>
      <c r="CD445" s="10"/>
      <c r="CE445" s="10"/>
      <c r="CF445" s="10"/>
      <c r="CG445" s="10"/>
      <c r="CH445" s="10"/>
      <c r="CI445" s="10"/>
      <c r="CJ445" s="10"/>
      <c r="CK445" s="10"/>
      <c r="CL445" s="10"/>
      <c r="CM445" s="10"/>
      <c r="CN445" s="10"/>
      <c r="CO445" s="10"/>
      <c r="CP445" s="10"/>
      <c r="CQ445" s="10"/>
      <c r="CR445" s="10"/>
      <c r="CS445" s="10"/>
      <c r="CT445" s="10"/>
      <c r="CU445" s="10"/>
      <c r="CV445" s="10"/>
      <c r="CW445" s="10"/>
      <c r="CX445" s="10"/>
      <c r="CY445" s="10"/>
      <c r="CZ445" s="10"/>
      <c r="DA445" s="10"/>
      <c r="DB445" s="10"/>
      <c r="DC445" s="10"/>
      <c r="DD445" s="10"/>
      <c r="DE445" s="10"/>
      <c r="DF445" s="10"/>
      <c r="DG445" s="10"/>
      <c r="DH445" s="10"/>
      <c r="DI445" s="10"/>
      <c r="DJ445" s="10"/>
      <c r="DK445" s="10"/>
      <c r="DL445" s="10"/>
      <c r="DM445" s="10"/>
      <c r="DN445" s="10"/>
      <c r="DO445" s="10"/>
      <c r="DP445" s="10"/>
    </row>
    <row r="446" spans="2:120" x14ac:dyDescent="0.25">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10"/>
      <c r="CD446" s="10"/>
      <c r="CE446" s="10"/>
      <c r="CF446" s="10"/>
      <c r="CG446" s="10"/>
      <c r="CH446" s="10"/>
      <c r="CI446" s="10"/>
      <c r="CJ446" s="10"/>
      <c r="CK446" s="10"/>
      <c r="CL446" s="10"/>
      <c r="CM446" s="10"/>
      <c r="CN446" s="10"/>
      <c r="CO446" s="10"/>
      <c r="CP446" s="10"/>
      <c r="CQ446" s="10"/>
      <c r="CR446" s="10"/>
      <c r="CS446" s="10"/>
      <c r="CT446" s="10"/>
      <c r="CU446" s="10"/>
      <c r="CV446" s="10"/>
      <c r="CW446" s="10"/>
      <c r="CX446" s="10"/>
      <c r="CY446" s="10"/>
      <c r="CZ446" s="10"/>
      <c r="DA446" s="10"/>
      <c r="DB446" s="10"/>
      <c r="DC446" s="10"/>
      <c r="DD446" s="10"/>
      <c r="DE446" s="10"/>
      <c r="DF446" s="10"/>
      <c r="DG446" s="10"/>
      <c r="DH446" s="10"/>
      <c r="DI446" s="10"/>
      <c r="DJ446" s="10"/>
      <c r="DK446" s="10"/>
      <c r="DL446" s="10"/>
      <c r="DM446" s="10"/>
      <c r="DN446" s="10"/>
      <c r="DO446" s="10"/>
      <c r="DP446" s="10"/>
    </row>
    <row r="447" spans="2:120" x14ac:dyDescent="0.25">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c r="CA447" s="10"/>
      <c r="CB447" s="10"/>
      <c r="CC447" s="10"/>
      <c r="CD447" s="10"/>
      <c r="CE447" s="10"/>
      <c r="CF447" s="10"/>
      <c r="CG447" s="10"/>
      <c r="CH447" s="10"/>
      <c r="CI447" s="10"/>
      <c r="CJ447" s="10"/>
      <c r="CK447" s="10"/>
      <c r="CL447" s="10"/>
      <c r="CM447" s="10"/>
      <c r="CN447" s="10"/>
      <c r="CO447" s="10"/>
      <c r="CP447" s="10"/>
      <c r="CQ447" s="10"/>
      <c r="CR447" s="10"/>
      <c r="CS447" s="10"/>
      <c r="CT447" s="10"/>
      <c r="CU447" s="10"/>
      <c r="CV447" s="10"/>
      <c r="CW447" s="10"/>
      <c r="CX447" s="10"/>
      <c r="CY447" s="10"/>
      <c r="CZ447" s="10"/>
      <c r="DA447" s="10"/>
      <c r="DB447" s="10"/>
      <c r="DC447" s="10"/>
      <c r="DD447" s="10"/>
      <c r="DE447" s="10"/>
      <c r="DF447" s="10"/>
      <c r="DG447" s="10"/>
      <c r="DH447" s="10"/>
      <c r="DI447" s="10"/>
      <c r="DJ447" s="10"/>
      <c r="DK447" s="10"/>
      <c r="DL447" s="10"/>
      <c r="DM447" s="10"/>
      <c r="DN447" s="10"/>
      <c r="DO447" s="10"/>
      <c r="DP447" s="10"/>
    </row>
    <row r="448" spans="2:120" x14ac:dyDescent="0.25">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c r="BZ448" s="10"/>
      <c r="CA448" s="10"/>
      <c r="CB448" s="10"/>
      <c r="CC448" s="10"/>
      <c r="CD448" s="10"/>
      <c r="CE448" s="10"/>
      <c r="CF448" s="10"/>
      <c r="CG448" s="10"/>
      <c r="CH448" s="10"/>
      <c r="CI448" s="10"/>
      <c r="CJ448" s="10"/>
      <c r="CK448" s="10"/>
      <c r="CL448" s="10"/>
      <c r="CM448" s="10"/>
      <c r="CN448" s="10"/>
      <c r="CO448" s="10"/>
      <c r="CP448" s="10"/>
      <c r="CQ448" s="10"/>
      <c r="CR448" s="10"/>
      <c r="CS448" s="10"/>
      <c r="CT448" s="10"/>
      <c r="CU448" s="10"/>
      <c r="CV448" s="10"/>
      <c r="CW448" s="10"/>
      <c r="CX448" s="10"/>
      <c r="CY448" s="10"/>
      <c r="CZ448" s="10"/>
      <c r="DA448" s="10"/>
      <c r="DB448" s="10"/>
      <c r="DC448" s="10"/>
      <c r="DD448" s="10"/>
      <c r="DE448" s="10"/>
      <c r="DF448" s="10"/>
      <c r="DG448" s="10"/>
      <c r="DH448" s="10"/>
      <c r="DI448" s="10"/>
      <c r="DJ448" s="10"/>
      <c r="DK448" s="10"/>
      <c r="DL448" s="10"/>
      <c r="DM448" s="10"/>
      <c r="DN448" s="10"/>
      <c r="DO448" s="10"/>
      <c r="DP448" s="10"/>
    </row>
    <row r="449" spans="2:120" x14ac:dyDescent="0.25">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c r="BZ449" s="10"/>
      <c r="CA449" s="10"/>
      <c r="CB449" s="10"/>
      <c r="CC449" s="10"/>
      <c r="CD449" s="10"/>
      <c r="CE449" s="10"/>
      <c r="CF449" s="10"/>
      <c r="CG449" s="10"/>
      <c r="CH449" s="10"/>
      <c r="CI449" s="10"/>
      <c r="CJ449" s="10"/>
      <c r="CK449" s="10"/>
      <c r="CL449" s="10"/>
      <c r="CM449" s="10"/>
      <c r="CN449" s="10"/>
      <c r="CO449" s="10"/>
      <c r="CP449" s="10"/>
      <c r="CQ449" s="10"/>
      <c r="CR449" s="10"/>
      <c r="CS449" s="10"/>
      <c r="CT449" s="10"/>
      <c r="CU449" s="10"/>
      <c r="CV449" s="10"/>
      <c r="CW449" s="10"/>
      <c r="CX449" s="10"/>
      <c r="CY449" s="10"/>
      <c r="CZ449" s="10"/>
      <c r="DA449" s="10"/>
      <c r="DB449" s="10"/>
      <c r="DC449" s="10"/>
      <c r="DD449" s="10"/>
      <c r="DE449" s="10"/>
      <c r="DF449" s="10"/>
      <c r="DG449" s="10"/>
      <c r="DH449" s="10"/>
      <c r="DI449" s="10"/>
      <c r="DJ449" s="10"/>
      <c r="DK449" s="10"/>
      <c r="DL449" s="10"/>
      <c r="DM449" s="10"/>
      <c r="DN449" s="10"/>
      <c r="DO449" s="10"/>
      <c r="DP449" s="10"/>
    </row>
    <row r="450" spans="2:120" x14ac:dyDescent="0.25">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c r="BT450" s="10"/>
      <c r="BU450" s="10"/>
      <c r="BV450" s="10"/>
      <c r="BW450" s="10"/>
      <c r="BX450" s="10"/>
      <c r="BY450" s="10"/>
      <c r="BZ450" s="10"/>
      <c r="CA450" s="10"/>
      <c r="CB450" s="10"/>
      <c r="CC450" s="10"/>
      <c r="CD450" s="10"/>
      <c r="CE450" s="10"/>
      <c r="CF450" s="10"/>
      <c r="CG450" s="10"/>
      <c r="CH450" s="10"/>
      <c r="CI450" s="10"/>
      <c r="CJ450" s="10"/>
      <c r="CK450" s="10"/>
      <c r="CL450" s="10"/>
      <c r="CM450" s="10"/>
      <c r="CN450" s="10"/>
      <c r="CO450" s="10"/>
      <c r="CP450" s="10"/>
      <c r="CQ450" s="10"/>
      <c r="CR450" s="10"/>
      <c r="CS450" s="10"/>
      <c r="CT450" s="10"/>
      <c r="CU450" s="10"/>
      <c r="CV450" s="10"/>
      <c r="CW450" s="10"/>
      <c r="CX450" s="10"/>
      <c r="CY450" s="10"/>
      <c r="CZ450" s="10"/>
      <c r="DA450" s="10"/>
      <c r="DB450" s="10"/>
      <c r="DC450" s="10"/>
      <c r="DD450" s="10"/>
      <c r="DE450" s="10"/>
      <c r="DF450" s="10"/>
      <c r="DG450" s="10"/>
      <c r="DH450" s="10"/>
      <c r="DI450" s="10"/>
      <c r="DJ450" s="10"/>
      <c r="DK450" s="10"/>
      <c r="DL450" s="10"/>
      <c r="DM450" s="10"/>
      <c r="DN450" s="10"/>
      <c r="DO450" s="10"/>
      <c r="DP450" s="10"/>
    </row>
    <row r="451" spans="2:120" x14ac:dyDescent="0.25">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0"/>
      <c r="BS451" s="10"/>
      <c r="BT451" s="10"/>
      <c r="BU451" s="10"/>
      <c r="BV451" s="10"/>
      <c r="BW451" s="10"/>
      <c r="BX451" s="10"/>
      <c r="BY451" s="10"/>
      <c r="BZ451" s="10"/>
      <c r="CA451" s="10"/>
      <c r="CB451" s="10"/>
      <c r="CC451" s="10"/>
      <c r="CD451" s="10"/>
      <c r="CE451" s="10"/>
      <c r="CF451" s="10"/>
      <c r="CG451" s="10"/>
      <c r="CH451" s="10"/>
      <c r="CI451" s="10"/>
      <c r="CJ451" s="10"/>
      <c r="CK451" s="10"/>
      <c r="CL451" s="10"/>
      <c r="CM451" s="10"/>
      <c r="CN451" s="10"/>
      <c r="CO451" s="10"/>
      <c r="CP451" s="10"/>
      <c r="CQ451" s="10"/>
      <c r="CR451" s="10"/>
      <c r="CS451" s="10"/>
      <c r="CT451" s="10"/>
      <c r="CU451" s="10"/>
      <c r="CV451" s="10"/>
      <c r="CW451" s="10"/>
      <c r="CX451" s="10"/>
      <c r="CY451" s="10"/>
      <c r="CZ451" s="10"/>
      <c r="DA451" s="10"/>
      <c r="DB451" s="10"/>
      <c r="DC451" s="10"/>
      <c r="DD451" s="10"/>
      <c r="DE451" s="10"/>
      <c r="DF451" s="10"/>
      <c r="DG451" s="10"/>
      <c r="DH451" s="10"/>
      <c r="DI451" s="10"/>
      <c r="DJ451" s="10"/>
      <c r="DK451" s="10"/>
      <c r="DL451" s="10"/>
      <c r="DM451" s="10"/>
      <c r="DN451" s="10"/>
      <c r="DO451" s="10"/>
      <c r="DP451" s="10"/>
    </row>
    <row r="452" spans="2:120" x14ac:dyDescent="0.25">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0"/>
      <c r="BS452" s="10"/>
      <c r="BT452" s="10"/>
      <c r="BU452" s="10"/>
      <c r="BV452" s="10"/>
      <c r="BW452" s="10"/>
      <c r="BX452" s="10"/>
      <c r="BY452" s="10"/>
      <c r="BZ452" s="10"/>
      <c r="CA452" s="10"/>
      <c r="CB452" s="10"/>
      <c r="CC452" s="10"/>
      <c r="CD452" s="10"/>
      <c r="CE452" s="10"/>
      <c r="CF452" s="10"/>
      <c r="CG452" s="10"/>
      <c r="CH452" s="10"/>
      <c r="CI452" s="10"/>
      <c r="CJ452" s="10"/>
      <c r="CK452" s="10"/>
      <c r="CL452" s="10"/>
      <c r="CM452" s="10"/>
      <c r="CN452" s="10"/>
      <c r="CO452" s="10"/>
      <c r="CP452" s="10"/>
      <c r="CQ452" s="10"/>
      <c r="CR452" s="10"/>
      <c r="CS452" s="10"/>
      <c r="CT452" s="10"/>
      <c r="CU452" s="10"/>
      <c r="CV452" s="10"/>
      <c r="CW452" s="10"/>
      <c r="CX452" s="10"/>
      <c r="CY452" s="10"/>
      <c r="CZ452" s="10"/>
      <c r="DA452" s="10"/>
      <c r="DB452" s="10"/>
      <c r="DC452" s="10"/>
      <c r="DD452" s="10"/>
      <c r="DE452" s="10"/>
      <c r="DF452" s="10"/>
      <c r="DG452" s="10"/>
      <c r="DH452" s="10"/>
      <c r="DI452" s="10"/>
      <c r="DJ452" s="10"/>
      <c r="DK452" s="10"/>
      <c r="DL452" s="10"/>
      <c r="DM452" s="10"/>
      <c r="DN452" s="10"/>
      <c r="DO452" s="10"/>
      <c r="DP452" s="10"/>
    </row>
    <row r="453" spans="2:120" x14ac:dyDescent="0.25">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c r="BT453" s="10"/>
      <c r="BU453" s="10"/>
      <c r="BV453" s="10"/>
      <c r="BW453" s="10"/>
      <c r="BX453" s="10"/>
      <c r="BY453" s="10"/>
      <c r="BZ453" s="10"/>
      <c r="CA453" s="10"/>
      <c r="CB453" s="10"/>
      <c r="CC453" s="10"/>
      <c r="CD453" s="10"/>
      <c r="CE453" s="10"/>
      <c r="CF453" s="10"/>
      <c r="CG453" s="10"/>
      <c r="CH453" s="10"/>
      <c r="CI453" s="10"/>
      <c r="CJ453" s="10"/>
      <c r="CK453" s="10"/>
      <c r="CL453" s="10"/>
      <c r="CM453" s="10"/>
      <c r="CN453" s="10"/>
      <c r="CO453" s="10"/>
      <c r="CP453" s="10"/>
      <c r="CQ453" s="10"/>
      <c r="CR453" s="10"/>
      <c r="CS453" s="10"/>
      <c r="CT453" s="10"/>
      <c r="CU453" s="10"/>
      <c r="CV453" s="10"/>
      <c r="CW453" s="10"/>
      <c r="CX453" s="10"/>
      <c r="CY453" s="10"/>
      <c r="CZ453" s="10"/>
      <c r="DA453" s="10"/>
      <c r="DB453" s="10"/>
      <c r="DC453" s="10"/>
      <c r="DD453" s="10"/>
      <c r="DE453" s="10"/>
      <c r="DF453" s="10"/>
      <c r="DG453" s="10"/>
      <c r="DH453" s="10"/>
      <c r="DI453" s="10"/>
      <c r="DJ453" s="10"/>
      <c r="DK453" s="10"/>
      <c r="DL453" s="10"/>
      <c r="DM453" s="10"/>
      <c r="DN453" s="10"/>
      <c r="DO453" s="10"/>
      <c r="DP453" s="10"/>
    </row>
    <row r="454" spans="2:120" x14ac:dyDescent="0.25">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c r="CA454" s="10"/>
      <c r="CB454" s="10"/>
      <c r="CC454" s="10"/>
      <c r="CD454" s="10"/>
      <c r="CE454" s="10"/>
      <c r="CF454" s="10"/>
      <c r="CG454" s="10"/>
      <c r="CH454" s="10"/>
      <c r="CI454" s="10"/>
      <c r="CJ454" s="10"/>
      <c r="CK454" s="10"/>
      <c r="CL454" s="10"/>
      <c r="CM454" s="10"/>
      <c r="CN454" s="10"/>
      <c r="CO454" s="10"/>
      <c r="CP454" s="10"/>
      <c r="CQ454" s="10"/>
      <c r="CR454" s="10"/>
      <c r="CS454" s="10"/>
      <c r="CT454" s="10"/>
      <c r="CU454" s="10"/>
      <c r="CV454" s="10"/>
      <c r="CW454" s="10"/>
      <c r="CX454" s="10"/>
      <c r="CY454" s="10"/>
      <c r="CZ454" s="10"/>
      <c r="DA454" s="10"/>
      <c r="DB454" s="10"/>
      <c r="DC454" s="10"/>
      <c r="DD454" s="10"/>
      <c r="DE454" s="10"/>
      <c r="DF454" s="10"/>
      <c r="DG454" s="10"/>
      <c r="DH454" s="10"/>
      <c r="DI454" s="10"/>
      <c r="DJ454" s="10"/>
      <c r="DK454" s="10"/>
      <c r="DL454" s="10"/>
      <c r="DM454" s="10"/>
      <c r="DN454" s="10"/>
      <c r="DO454" s="10"/>
      <c r="DP454" s="10"/>
    </row>
    <row r="455" spans="2:120" x14ac:dyDescent="0.25">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c r="BP455" s="10"/>
      <c r="BQ455" s="10"/>
      <c r="BR455" s="10"/>
      <c r="BS455" s="10"/>
      <c r="BT455" s="10"/>
      <c r="BU455" s="10"/>
      <c r="BV455" s="10"/>
      <c r="BW455" s="10"/>
      <c r="BX455" s="10"/>
      <c r="BY455" s="10"/>
      <c r="BZ455" s="10"/>
      <c r="CA455" s="10"/>
      <c r="CB455" s="10"/>
      <c r="CC455" s="10"/>
      <c r="CD455" s="10"/>
      <c r="CE455" s="10"/>
      <c r="CF455" s="10"/>
      <c r="CG455" s="10"/>
      <c r="CH455" s="10"/>
      <c r="CI455" s="10"/>
      <c r="CJ455" s="10"/>
      <c r="CK455" s="10"/>
      <c r="CL455" s="10"/>
      <c r="CM455" s="10"/>
      <c r="CN455" s="10"/>
      <c r="CO455" s="10"/>
      <c r="CP455" s="10"/>
      <c r="CQ455" s="10"/>
      <c r="CR455" s="10"/>
      <c r="CS455" s="10"/>
      <c r="CT455" s="10"/>
      <c r="CU455" s="10"/>
      <c r="CV455" s="10"/>
      <c r="CW455" s="10"/>
      <c r="CX455" s="10"/>
      <c r="CY455" s="10"/>
      <c r="CZ455" s="10"/>
      <c r="DA455" s="10"/>
      <c r="DB455" s="10"/>
      <c r="DC455" s="10"/>
      <c r="DD455" s="10"/>
      <c r="DE455" s="10"/>
      <c r="DF455" s="10"/>
      <c r="DG455" s="10"/>
      <c r="DH455" s="10"/>
      <c r="DI455" s="10"/>
      <c r="DJ455" s="10"/>
      <c r="DK455" s="10"/>
      <c r="DL455" s="10"/>
      <c r="DM455" s="10"/>
      <c r="DN455" s="10"/>
      <c r="DO455" s="10"/>
      <c r="DP455" s="10"/>
    </row>
    <row r="456" spans="2:120" x14ac:dyDescent="0.25">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c r="BT456" s="10"/>
      <c r="BU456" s="10"/>
      <c r="BV456" s="10"/>
      <c r="BW456" s="10"/>
      <c r="BX456" s="10"/>
      <c r="BY456" s="10"/>
      <c r="BZ456" s="10"/>
      <c r="CA456" s="10"/>
      <c r="CB456" s="10"/>
      <c r="CC456" s="10"/>
      <c r="CD456" s="10"/>
      <c r="CE456" s="10"/>
      <c r="CF456" s="10"/>
      <c r="CG456" s="10"/>
      <c r="CH456" s="10"/>
      <c r="CI456" s="10"/>
      <c r="CJ456" s="10"/>
      <c r="CK456" s="10"/>
      <c r="CL456" s="10"/>
      <c r="CM456" s="10"/>
      <c r="CN456" s="10"/>
      <c r="CO456" s="10"/>
      <c r="CP456" s="10"/>
      <c r="CQ456" s="10"/>
      <c r="CR456" s="10"/>
      <c r="CS456" s="10"/>
      <c r="CT456" s="10"/>
      <c r="CU456" s="10"/>
      <c r="CV456" s="10"/>
      <c r="CW456" s="10"/>
      <c r="CX456" s="10"/>
      <c r="CY456" s="10"/>
      <c r="CZ456" s="10"/>
      <c r="DA456" s="10"/>
      <c r="DB456" s="10"/>
      <c r="DC456" s="10"/>
      <c r="DD456" s="10"/>
      <c r="DE456" s="10"/>
      <c r="DF456" s="10"/>
      <c r="DG456" s="10"/>
      <c r="DH456" s="10"/>
      <c r="DI456" s="10"/>
      <c r="DJ456" s="10"/>
      <c r="DK456" s="10"/>
      <c r="DL456" s="10"/>
      <c r="DM456" s="10"/>
      <c r="DN456" s="10"/>
      <c r="DO456" s="10"/>
      <c r="DP456" s="10"/>
    </row>
    <row r="457" spans="2:120" x14ac:dyDescent="0.25">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c r="BZ457" s="10"/>
      <c r="CA457" s="10"/>
      <c r="CB457" s="10"/>
      <c r="CC457" s="10"/>
      <c r="CD457" s="10"/>
      <c r="CE457" s="10"/>
      <c r="CF457" s="10"/>
      <c r="CG457" s="10"/>
      <c r="CH457" s="10"/>
      <c r="CI457" s="10"/>
      <c r="CJ457" s="10"/>
      <c r="CK457" s="10"/>
      <c r="CL457" s="10"/>
      <c r="CM457" s="10"/>
      <c r="CN457" s="10"/>
      <c r="CO457" s="10"/>
      <c r="CP457" s="10"/>
      <c r="CQ457" s="10"/>
      <c r="CR457" s="10"/>
      <c r="CS457" s="10"/>
      <c r="CT457" s="10"/>
      <c r="CU457" s="10"/>
      <c r="CV457" s="10"/>
      <c r="CW457" s="10"/>
      <c r="CX457" s="10"/>
      <c r="CY457" s="10"/>
      <c r="CZ457" s="10"/>
      <c r="DA457" s="10"/>
      <c r="DB457" s="10"/>
      <c r="DC457" s="10"/>
      <c r="DD457" s="10"/>
      <c r="DE457" s="10"/>
      <c r="DF457" s="10"/>
      <c r="DG457" s="10"/>
      <c r="DH457" s="10"/>
      <c r="DI457" s="10"/>
      <c r="DJ457" s="10"/>
      <c r="DK457" s="10"/>
      <c r="DL457" s="10"/>
      <c r="DM457" s="10"/>
      <c r="DN457" s="10"/>
      <c r="DO457" s="10"/>
      <c r="DP457" s="10"/>
    </row>
    <row r="458" spans="2:120" x14ac:dyDescent="0.25">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c r="BZ458" s="10"/>
      <c r="CA458" s="10"/>
      <c r="CB458" s="10"/>
      <c r="CC458" s="10"/>
      <c r="CD458" s="10"/>
      <c r="CE458" s="10"/>
      <c r="CF458" s="10"/>
      <c r="CG458" s="10"/>
      <c r="CH458" s="10"/>
      <c r="CI458" s="10"/>
      <c r="CJ458" s="10"/>
      <c r="CK458" s="10"/>
      <c r="CL458" s="10"/>
      <c r="CM458" s="10"/>
      <c r="CN458" s="10"/>
      <c r="CO458" s="10"/>
      <c r="CP458" s="10"/>
      <c r="CQ458" s="10"/>
      <c r="CR458" s="10"/>
      <c r="CS458" s="10"/>
      <c r="CT458" s="10"/>
      <c r="CU458" s="10"/>
      <c r="CV458" s="10"/>
      <c r="CW458" s="10"/>
      <c r="CX458" s="10"/>
      <c r="CY458" s="10"/>
      <c r="CZ458" s="10"/>
      <c r="DA458" s="10"/>
      <c r="DB458" s="10"/>
      <c r="DC458" s="10"/>
      <c r="DD458" s="10"/>
      <c r="DE458" s="10"/>
      <c r="DF458" s="10"/>
      <c r="DG458" s="10"/>
      <c r="DH458" s="10"/>
      <c r="DI458" s="10"/>
      <c r="DJ458" s="10"/>
      <c r="DK458" s="10"/>
      <c r="DL458" s="10"/>
      <c r="DM458" s="10"/>
      <c r="DN458" s="10"/>
      <c r="DO458" s="10"/>
      <c r="DP458" s="10"/>
    </row>
    <row r="459" spans="2:120" x14ac:dyDescent="0.25">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c r="BZ459" s="10"/>
      <c r="CA459" s="10"/>
      <c r="CB459" s="10"/>
      <c r="CC459" s="10"/>
      <c r="CD459" s="10"/>
      <c r="CE459" s="10"/>
      <c r="CF459" s="10"/>
      <c r="CG459" s="10"/>
      <c r="CH459" s="10"/>
      <c r="CI459" s="10"/>
      <c r="CJ459" s="10"/>
      <c r="CK459" s="10"/>
      <c r="CL459" s="10"/>
      <c r="CM459" s="10"/>
      <c r="CN459" s="10"/>
      <c r="CO459" s="10"/>
      <c r="CP459" s="10"/>
      <c r="CQ459" s="10"/>
      <c r="CR459" s="10"/>
      <c r="CS459" s="10"/>
      <c r="CT459" s="10"/>
      <c r="CU459" s="10"/>
      <c r="CV459" s="10"/>
      <c r="CW459" s="10"/>
      <c r="CX459" s="10"/>
      <c r="CY459" s="10"/>
      <c r="CZ459" s="10"/>
      <c r="DA459" s="10"/>
      <c r="DB459" s="10"/>
      <c r="DC459" s="10"/>
      <c r="DD459" s="10"/>
      <c r="DE459" s="10"/>
      <c r="DF459" s="10"/>
      <c r="DG459" s="10"/>
      <c r="DH459" s="10"/>
      <c r="DI459" s="10"/>
      <c r="DJ459" s="10"/>
      <c r="DK459" s="10"/>
      <c r="DL459" s="10"/>
      <c r="DM459" s="10"/>
      <c r="DN459" s="10"/>
      <c r="DO459" s="10"/>
      <c r="DP459" s="10"/>
    </row>
    <row r="460" spans="2:120" x14ac:dyDescent="0.25">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c r="BT460" s="10"/>
      <c r="BU460" s="10"/>
      <c r="BV460" s="10"/>
      <c r="BW460" s="10"/>
      <c r="BX460" s="10"/>
      <c r="BY460" s="10"/>
      <c r="BZ460" s="10"/>
      <c r="CA460" s="10"/>
      <c r="CB460" s="10"/>
      <c r="CC460" s="10"/>
      <c r="CD460" s="10"/>
      <c r="CE460" s="10"/>
      <c r="CF460" s="10"/>
      <c r="CG460" s="10"/>
      <c r="CH460" s="10"/>
      <c r="CI460" s="10"/>
      <c r="CJ460" s="10"/>
      <c r="CK460" s="10"/>
      <c r="CL460" s="10"/>
      <c r="CM460" s="10"/>
      <c r="CN460" s="10"/>
      <c r="CO460" s="10"/>
      <c r="CP460" s="10"/>
      <c r="CQ460" s="10"/>
      <c r="CR460" s="10"/>
      <c r="CS460" s="10"/>
      <c r="CT460" s="10"/>
      <c r="CU460" s="10"/>
      <c r="CV460" s="10"/>
      <c r="CW460" s="10"/>
      <c r="CX460" s="10"/>
      <c r="CY460" s="10"/>
      <c r="CZ460" s="10"/>
      <c r="DA460" s="10"/>
      <c r="DB460" s="10"/>
      <c r="DC460" s="10"/>
      <c r="DD460" s="10"/>
      <c r="DE460" s="10"/>
      <c r="DF460" s="10"/>
      <c r="DG460" s="10"/>
      <c r="DH460" s="10"/>
      <c r="DI460" s="10"/>
      <c r="DJ460" s="10"/>
      <c r="DK460" s="10"/>
      <c r="DL460" s="10"/>
      <c r="DM460" s="10"/>
      <c r="DN460" s="10"/>
      <c r="DO460" s="10"/>
      <c r="DP460" s="10"/>
    </row>
    <row r="461" spans="2:120" x14ac:dyDescent="0.25">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c r="BQ461" s="10"/>
      <c r="BR461" s="10"/>
      <c r="BS461" s="10"/>
      <c r="BT461" s="10"/>
      <c r="BU461" s="10"/>
      <c r="BV461" s="10"/>
      <c r="BW461" s="10"/>
      <c r="BX461" s="10"/>
      <c r="BY461" s="10"/>
      <c r="BZ461" s="10"/>
      <c r="CA461" s="10"/>
      <c r="CB461" s="10"/>
      <c r="CC461" s="10"/>
      <c r="CD461" s="10"/>
      <c r="CE461" s="10"/>
      <c r="CF461" s="10"/>
      <c r="CG461" s="10"/>
      <c r="CH461" s="10"/>
      <c r="CI461" s="10"/>
      <c r="CJ461" s="10"/>
      <c r="CK461" s="10"/>
      <c r="CL461" s="10"/>
      <c r="CM461" s="10"/>
      <c r="CN461" s="10"/>
      <c r="CO461" s="10"/>
      <c r="CP461" s="10"/>
      <c r="CQ461" s="10"/>
      <c r="CR461" s="10"/>
      <c r="CS461" s="10"/>
      <c r="CT461" s="10"/>
      <c r="CU461" s="10"/>
      <c r="CV461" s="10"/>
      <c r="CW461" s="10"/>
      <c r="CX461" s="10"/>
      <c r="CY461" s="10"/>
      <c r="CZ461" s="10"/>
      <c r="DA461" s="10"/>
      <c r="DB461" s="10"/>
      <c r="DC461" s="10"/>
      <c r="DD461" s="10"/>
      <c r="DE461" s="10"/>
      <c r="DF461" s="10"/>
      <c r="DG461" s="10"/>
      <c r="DH461" s="10"/>
      <c r="DI461" s="10"/>
      <c r="DJ461" s="10"/>
      <c r="DK461" s="10"/>
      <c r="DL461" s="10"/>
      <c r="DM461" s="10"/>
      <c r="DN461" s="10"/>
      <c r="DO461" s="10"/>
      <c r="DP461" s="10"/>
    </row>
    <row r="462" spans="2:120" x14ac:dyDescent="0.25">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c r="CA462" s="10"/>
      <c r="CB462" s="10"/>
      <c r="CC462" s="10"/>
      <c r="CD462" s="10"/>
      <c r="CE462" s="10"/>
      <c r="CF462" s="10"/>
      <c r="CG462" s="10"/>
      <c r="CH462" s="10"/>
      <c r="CI462" s="10"/>
      <c r="CJ462" s="10"/>
      <c r="CK462" s="10"/>
      <c r="CL462" s="10"/>
      <c r="CM462" s="10"/>
      <c r="CN462" s="10"/>
      <c r="CO462" s="10"/>
      <c r="CP462" s="10"/>
      <c r="CQ462" s="10"/>
      <c r="CR462" s="10"/>
      <c r="CS462" s="10"/>
      <c r="CT462" s="10"/>
      <c r="CU462" s="10"/>
      <c r="CV462" s="10"/>
      <c r="CW462" s="10"/>
      <c r="CX462" s="10"/>
      <c r="CY462" s="10"/>
      <c r="CZ462" s="10"/>
      <c r="DA462" s="10"/>
      <c r="DB462" s="10"/>
      <c r="DC462" s="10"/>
      <c r="DD462" s="10"/>
      <c r="DE462" s="10"/>
      <c r="DF462" s="10"/>
      <c r="DG462" s="10"/>
      <c r="DH462" s="10"/>
      <c r="DI462" s="10"/>
      <c r="DJ462" s="10"/>
      <c r="DK462" s="10"/>
      <c r="DL462" s="10"/>
      <c r="DM462" s="10"/>
      <c r="DN462" s="10"/>
      <c r="DO462" s="10"/>
      <c r="DP462" s="10"/>
    </row>
    <row r="463" spans="2:120" x14ac:dyDescent="0.25">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c r="BP463" s="10"/>
      <c r="BQ463" s="10"/>
      <c r="BR463" s="10"/>
      <c r="BS463" s="10"/>
      <c r="BT463" s="10"/>
      <c r="BU463" s="10"/>
      <c r="BV463" s="10"/>
      <c r="BW463" s="10"/>
      <c r="BX463" s="10"/>
      <c r="BY463" s="10"/>
      <c r="BZ463" s="10"/>
      <c r="CA463" s="10"/>
      <c r="CB463" s="10"/>
      <c r="CC463" s="10"/>
      <c r="CD463" s="10"/>
      <c r="CE463" s="10"/>
      <c r="CF463" s="10"/>
      <c r="CG463" s="10"/>
      <c r="CH463" s="10"/>
      <c r="CI463" s="10"/>
      <c r="CJ463" s="10"/>
      <c r="CK463" s="10"/>
      <c r="CL463" s="10"/>
      <c r="CM463" s="10"/>
      <c r="CN463" s="10"/>
      <c r="CO463" s="10"/>
      <c r="CP463" s="10"/>
      <c r="CQ463" s="10"/>
      <c r="CR463" s="10"/>
      <c r="CS463" s="10"/>
      <c r="CT463" s="10"/>
      <c r="CU463" s="10"/>
      <c r="CV463" s="10"/>
      <c r="CW463" s="10"/>
      <c r="CX463" s="10"/>
      <c r="CY463" s="10"/>
      <c r="CZ463" s="10"/>
      <c r="DA463" s="10"/>
      <c r="DB463" s="10"/>
      <c r="DC463" s="10"/>
      <c r="DD463" s="10"/>
      <c r="DE463" s="10"/>
      <c r="DF463" s="10"/>
      <c r="DG463" s="10"/>
      <c r="DH463" s="10"/>
      <c r="DI463" s="10"/>
      <c r="DJ463" s="10"/>
      <c r="DK463" s="10"/>
      <c r="DL463" s="10"/>
      <c r="DM463" s="10"/>
      <c r="DN463" s="10"/>
      <c r="DO463" s="10"/>
      <c r="DP463" s="10"/>
    </row>
    <row r="464" spans="2:120" x14ac:dyDescent="0.25">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c r="BP464" s="10"/>
      <c r="BQ464" s="10"/>
      <c r="BR464" s="10"/>
      <c r="BS464" s="10"/>
      <c r="BT464" s="10"/>
      <c r="BU464" s="10"/>
      <c r="BV464" s="10"/>
      <c r="BW464" s="10"/>
      <c r="BX464" s="10"/>
      <c r="BY464" s="10"/>
      <c r="BZ464" s="10"/>
      <c r="CA464" s="10"/>
      <c r="CB464" s="10"/>
      <c r="CC464" s="10"/>
      <c r="CD464" s="10"/>
      <c r="CE464" s="10"/>
      <c r="CF464" s="10"/>
      <c r="CG464" s="10"/>
      <c r="CH464" s="10"/>
      <c r="CI464" s="10"/>
      <c r="CJ464" s="10"/>
      <c r="CK464" s="10"/>
      <c r="CL464" s="10"/>
      <c r="CM464" s="10"/>
      <c r="CN464" s="10"/>
      <c r="CO464" s="10"/>
      <c r="CP464" s="10"/>
      <c r="CQ464" s="10"/>
      <c r="CR464" s="10"/>
      <c r="CS464" s="10"/>
      <c r="CT464" s="10"/>
      <c r="CU464" s="10"/>
      <c r="CV464" s="10"/>
      <c r="CW464" s="10"/>
      <c r="CX464" s="10"/>
      <c r="CY464" s="10"/>
      <c r="CZ464" s="10"/>
      <c r="DA464" s="10"/>
      <c r="DB464" s="10"/>
      <c r="DC464" s="10"/>
      <c r="DD464" s="10"/>
      <c r="DE464" s="10"/>
      <c r="DF464" s="10"/>
      <c r="DG464" s="10"/>
      <c r="DH464" s="10"/>
      <c r="DI464" s="10"/>
      <c r="DJ464" s="10"/>
      <c r="DK464" s="10"/>
      <c r="DL464" s="10"/>
      <c r="DM464" s="10"/>
      <c r="DN464" s="10"/>
      <c r="DO464" s="10"/>
      <c r="DP464" s="10"/>
    </row>
    <row r="465" spans="2:120" x14ac:dyDescent="0.25">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c r="BQ465" s="10"/>
      <c r="BR465" s="10"/>
      <c r="BS465" s="10"/>
      <c r="BT465" s="10"/>
      <c r="BU465" s="10"/>
      <c r="BV465" s="10"/>
      <c r="BW465" s="10"/>
      <c r="BX465" s="10"/>
      <c r="BY465" s="10"/>
      <c r="BZ465" s="10"/>
      <c r="CA465" s="10"/>
      <c r="CB465" s="10"/>
      <c r="CC465" s="10"/>
      <c r="CD465" s="10"/>
      <c r="CE465" s="10"/>
      <c r="CF465" s="10"/>
      <c r="CG465" s="10"/>
      <c r="CH465" s="10"/>
      <c r="CI465" s="10"/>
      <c r="CJ465" s="10"/>
      <c r="CK465" s="10"/>
      <c r="CL465" s="10"/>
      <c r="CM465" s="10"/>
      <c r="CN465" s="10"/>
      <c r="CO465" s="10"/>
      <c r="CP465" s="10"/>
      <c r="CQ465" s="10"/>
      <c r="CR465" s="10"/>
      <c r="CS465" s="10"/>
      <c r="CT465" s="10"/>
      <c r="CU465" s="10"/>
      <c r="CV465" s="10"/>
      <c r="CW465" s="10"/>
      <c r="CX465" s="10"/>
      <c r="CY465" s="10"/>
      <c r="CZ465" s="10"/>
      <c r="DA465" s="10"/>
      <c r="DB465" s="10"/>
      <c r="DC465" s="10"/>
      <c r="DD465" s="10"/>
      <c r="DE465" s="10"/>
      <c r="DF465" s="10"/>
      <c r="DG465" s="10"/>
      <c r="DH465" s="10"/>
      <c r="DI465" s="10"/>
      <c r="DJ465" s="10"/>
      <c r="DK465" s="10"/>
      <c r="DL465" s="10"/>
      <c r="DM465" s="10"/>
      <c r="DN465" s="10"/>
      <c r="DO465" s="10"/>
      <c r="DP465" s="10"/>
    </row>
    <row r="466" spans="2:120" x14ac:dyDescent="0.25">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c r="BQ466" s="10"/>
      <c r="BR466" s="10"/>
      <c r="BS466" s="10"/>
      <c r="BT466" s="10"/>
      <c r="BU466" s="10"/>
      <c r="BV466" s="10"/>
      <c r="BW466" s="10"/>
      <c r="BX466" s="10"/>
      <c r="BY466" s="10"/>
      <c r="BZ466" s="10"/>
      <c r="CA466" s="10"/>
      <c r="CB466" s="10"/>
      <c r="CC466" s="10"/>
      <c r="CD466" s="10"/>
      <c r="CE466" s="10"/>
      <c r="CF466" s="10"/>
      <c r="CG466" s="10"/>
      <c r="CH466" s="10"/>
      <c r="CI466" s="10"/>
      <c r="CJ466" s="10"/>
      <c r="CK466" s="10"/>
      <c r="CL466" s="10"/>
      <c r="CM466" s="10"/>
      <c r="CN466" s="10"/>
      <c r="CO466" s="10"/>
      <c r="CP466" s="10"/>
      <c r="CQ466" s="10"/>
      <c r="CR466" s="10"/>
      <c r="CS466" s="10"/>
      <c r="CT466" s="10"/>
      <c r="CU466" s="10"/>
      <c r="CV466" s="10"/>
      <c r="CW466" s="10"/>
      <c r="CX466" s="10"/>
      <c r="CY466" s="10"/>
      <c r="CZ466" s="10"/>
      <c r="DA466" s="10"/>
      <c r="DB466" s="10"/>
      <c r="DC466" s="10"/>
      <c r="DD466" s="10"/>
      <c r="DE466" s="10"/>
      <c r="DF466" s="10"/>
      <c r="DG466" s="10"/>
      <c r="DH466" s="10"/>
      <c r="DI466" s="10"/>
      <c r="DJ466" s="10"/>
      <c r="DK466" s="10"/>
      <c r="DL466" s="10"/>
      <c r="DM466" s="10"/>
      <c r="DN466" s="10"/>
      <c r="DO466" s="10"/>
      <c r="DP466" s="10"/>
    </row>
    <row r="467" spans="2:120" x14ac:dyDescent="0.25">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c r="BP467" s="10"/>
      <c r="BQ467" s="10"/>
      <c r="BR467" s="10"/>
      <c r="BS467" s="10"/>
      <c r="BT467" s="10"/>
      <c r="BU467" s="10"/>
      <c r="BV467" s="10"/>
      <c r="BW467" s="10"/>
      <c r="BX467" s="10"/>
      <c r="BY467" s="10"/>
      <c r="BZ467" s="10"/>
      <c r="CA467" s="10"/>
      <c r="CB467" s="10"/>
      <c r="CC467" s="10"/>
      <c r="CD467" s="10"/>
      <c r="CE467" s="10"/>
      <c r="CF467" s="10"/>
      <c r="CG467" s="10"/>
      <c r="CH467" s="10"/>
      <c r="CI467" s="10"/>
      <c r="CJ467" s="10"/>
      <c r="CK467" s="10"/>
      <c r="CL467" s="10"/>
      <c r="CM467" s="10"/>
      <c r="CN467" s="10"/>
      <c r="CO467" s="10"/>
      <c r="CP467" s="10"/>
      <c r="CQ467" s="10"/>
      <c r="CR467" s="10"/>
      <c r="CS467" s="10"/>
      <c r="CT467" s="10"/>
      <c r="CU467" s="10"/>
      <c r="CV467" s="10"/>
      <c r="CW467" s="10"/>
      <c r="CX467" s="10"/>
      <c r="CY467" s="10"/>
      <c r="CZ467" s="10"/>
      <c r="DA467" s="10"/>
      <c r="DB467" s="10"/>
      <c r="DC467" s="10"/>
      <c r="DD467" s="10"/>
      <c r="DE467" s="10"/>
      <c r="DF467" s="10"/>
      <c r="DG467" s="10"/>
      <c r="DH467" s="10"/>
      <c r="DI467" s="10"/>
      <c r="DJ467" s="10"/>
      <c r="DK467" s="10"/>
      <c r="DL467" s="10"/>
      <c r="DM467" s="10"/>
      <c r="DN467" s="10"/>
      <c r="DO467" s="10"/>
      <c r="DP467" s="10"/>
    </row>
    <row r="468" spans="2:120" x14ac:dyDescent="0.25">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c r="BP468" s="10"/>
      <c r="BQ468" s="10"/>
      <c r="BR468" s="10"/>
      <c r="BS468" s="10"/>
      <c r="BT468" s="10"/>
      <c r="BU468" s="10"/>
      <c r="BV468" s="10"/>
      <c r="BW468" s="10"/>
      <c r="BX468" s="10"/>
      <c r="BY468" s="10"/>
      <c r="BZ468" s="10"/>
      <c r="CA468" s="10"/>
      <c r="CB468" s="10"/>
      <c r="CC468" s="10"/>
      <c r="CD468" s="10"/>
      <c r="CE468" s="10"/>
      <c r="CF468" s="10"/>
      <c r="CG468" s="10"/>
      <c r="CH468" s="10"/>
      <c r="CI468" s="10"/>
      <c r="CJ468" s="10"/>
      <c r="CK468" s="10"/>
      <c r="CL468" s="10"/>
      <c r="CM468" s="10"/>
      <c r="CN468" s="10"/>
      <c r="CO468" s="10"/>
      <c r="CP468" s="10"/>
      <c r="CQ468" s="10"/>
      <c r="CR468" s="10"/>
      <c r="CS468" s="10"/>
      <c r="CT468" s="10"/>
      <c r="CU468" s="10"/>
      <c r="CV468" s="10"/>
      <c r="CW468" s="10"/>
      <c r="CX468" s="10"/>
      <c r="CY468" s="10"/>
      <c r="CZ468" s="10"/>
      <c r="DA468" s="10"/>
      <c r="DB468" s="10"/>
      <c r="DC468" s="10"/>
      <c r="DD468" s="10"/>
      <c r="DE468" s="10"/>
      <c r="DF468" s="10"/>
      <c r="DG468" s="10"/>
      <c r="DH468" s="10"/>
      <c r="DI468" s="10"/>
      <c r="DJ468" s="10"/>
      <c r="DK468" s="10"/>
      <c r="DL468" s="10"/>
      <c r="DM468" s="10"/>
      <c r="DN468" s="10"/>
      <c r="DO468" s="10"/>
      <c r="DP468" s="10"/>
    </row>
    <row r="469" spans="2:120" x14ac:dyDescent="0.25">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10"/>
      <c r="CD469" s="10"/>
      <c r="CE469" s="10"/>
      <c r="CF469" s="10"/>
      <c r="CG469" s="10"/>
      <c r="CH469" s="10"/>
      <c r="CI469" s="10"/>
      <c r="CJ469" s="10"/>
      <c r="CK469" s="10"/>
      <c r="CL469" s="10"/>
      <c r="CM469" s="10"/>
      <c r="CN469" s="10"/>
      <c r="CO469" s="10"/>
      <c r="CP469" s="10"/>
      <c r="CQ469" s="10"/>
      <c r="CR469" s="10"/>
      <c r="CS469" s="10"/>
      <c r="CT469" s="10"/>
      <c r="CU469" s="10"/>
      <c r="CV469" s="10"/>
      <c r="CW469" s="10"/>
      <c r="CX469" s="10"/>
      <c r="CY469" s="10"/>
      <c r="CZ469" s="10"/>
      <c r="DA469" s="10"/>
      <c r="DB469" s="10"/>
      <c r="DC469" s="10"/>
      <c r="DD469" s="10"/>
      <c r="DE469" s="10"/>
      <c r="DF469" s="10"/>
      <c r="DG469" s="10"/>
      <c r="DH469" s="10"/>
      <c r="DI469" s="10"/>
      <c r="DJ469" s="10"/>
      <c r="DK469" s="10"/>
      <c r="DL469" s="10"/>
      <c r="DM469" s="10"/>
      <c r="DN469" s="10"/>
      <c r="DO469" s="10"/>
      <c r="DP469" s="10"/>
    </row>
    <row r="470" spans="2:120" x14ac:dyDescent="0.25">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c r="BZ470" s="10"/>
      <c r="CA470" s="10"/>
      <c r="CB470" s="10"/>
      <c r="CC470" s="10"/>
      <c r="CD470" s="10"/>
      <c r="CE470" s="10"/>
      <c r="CF470" s="10"/>
      <c r="CG470" s="10"/>
      <c r="CH470" s="10"/>
      <c r="CI470" s="10"/>
      <c r="CJ470" s="10"/>
      <c r="CK470" s="10"/>
      <c r="CL470" s="10"/>
      <c r="CM470" s="10"/>
      <c r="CN470" s="10"/>
      <c r="CO470" s="10"/>
      <c r="CP470" s="10"/>
      <c r="CQ470" s="10"/>
      <c r="CR470" s="10"/>
      <c r="CS470" s="10"/>
      <c r="CT470" s="10"/>
      <c r="CU470" s="10"/>
      <c r="CV470" s="10"/>
      <c r="CW470" s="10"/>
      <c r="CX470" s="10"/>
      <c r="CY470" s="10"/>
      <c r="CZ470" s="10"/>
      <c r="DA470" s="10"/>
      <c r="DB470" s="10"/>
      <c r="DC470" s="10"/>
      <c r="DD470" s="10"/>
      <c r="DE470" s="10"/>
      <c r="DF470" s="10"/>
      <c r="DG470" s="10"/>
      <c r="DH470" s="10"/>
      <c r="DI470" s="10"/>
      <c r="DJ470" s="10"/>
      <c r="DK470" s="10"/>
      <c r="DL470" s="10"/>
      <c r="DM470" s="10"/>
      <c r="DN470" s="10"/>
      <c r="DO470" s="10"/>
      <c r="DP470" s="10"/>
    </row>
    <row r="471" spans="2:120" x14ac:dyDescent="0.25">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c r="BP471" s="10"/>
      <c r="BQ471" s="10"/>
      <c r="BR471" s="10"/>
      <c r="BS471" s="10"/>
      <c r="BT471" s="10"/>
      <c r="BU471" s="10"/>
      <c r="BV471" s="10"/>
      <c r="BW471" s="10"/>
      <c r="BX471" s="10"/>
      <c r="BY471" s="10"/>
      <c r="BZ471" s="10"/>
      <c r="CA471" s="10"/>
      <c r="CB471" s="10"/>
      <c r="CC471" s="10"/>
      <c r="CD471" s="10"/>
      <c r="CE471" s="10"/>
      <c r="CF471" s="10"/>
      <c r="CG471" s="10"/>
      <c r="CH471" s="10"/>
      <c r="CI471" s="10"/>
      <c r="CJ471" s="10"/>
      <c r="CK471" s="10"/>
      <c r="CL471" s="10"/>
      <c r="CM471" s="10"/>
      <c r="CN471" s="10"/>
      <c r="CO471" s="10"/>
      <c r="CP471" s="10"/>
      <c r="CQ471" s="10"/>
      <c r="CR471" s="10"/>
      <c r="CS471" s="10"/>
      <c r="CT471" s="10"/>
      <c r="CU471" s="10"/>
      <c r="CV471" s="10"/>
      <c r="CW471" s="10"/>
      <c r="CX471" s="10"/>
      <c r="CY471" s="10"/>
      <c r="CZ471" s="10"/>
      <c r="DA471" s="10"/>
      <c r="DB471" s="10"/>
      <c r="DC471" s="10"/>
      <c r="DD471" s="10"/>
      <c r="DE471" s="10"/>
      <c r="DF471" s="10"/>
      <c r="DG471" s="10"/>
      <c r="DH471" s="10"/>
      <c r="DI471" s="10"/>
      <c r="DJ471" s="10"/>
      <c r="DK471" s="10"/>
      <c r="DL471" s="10"/>
      <c r="DM471" s="10"/>
      <c r="DN471" s="10"/>
      <c r="DO471" s="10"/>
      <c r="DP471" s="10"/>
    </row>
    <row r="472" spans="2:120" x14ac:dyDescent="0.25">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c r="BQ472" s="10"/>
      <c r="BR472" s="10"/>
      <c r="BS472" s="10"/>
      <c r="BT472" s="10"/>
      <c r="BU472" s="10"/>
      <c r="BV472" s="10"/>
      <c r="BW472" s="10"/>
      <c r="BX472" s="10"/>
      <c r="BY472" s="10"/>
      <c r="BZ472" s="10"/>
      <c r="CA472" s="10"/>
      <c r="CB472" s="10"/>
      <c r="CC472" s="10"/>
      <c r="CD472" s="10"/>
      <c r="CE472" s="10"/>
      <c r="CF472" s="10"/>
      <c r="CG472" s="10"/>
      <c r="CH472" s="10"/>
      <c r="CI472" s="10"/>
      <c r="CJ472" s="10"/>
      <c r="CK472" s="10"/>
      <c r="CL472" s="10"/>
      <c r="CM472" s="10"/>
      <c r="CN472" s="10"/>
      <c r="CO472" s="10"/>
      <c r="CP472" s="10"/>
      <c r="CQ472" s="10"/>
      <c r="CR472" s="10"/>
      <c r="CS472" s="10"/>
      <c r="CT472" s="10"/>
      <c r="CU472" s="10"/>
      <c r="CV472" s="10"/>
      <c r="CW472" s="10"/>
      <c r="CX472" s="10"/>
      <c r="CY472" s="10"/>
      <c r="CZ472" s="10"/>
      <c r="DA472" s="10"/>
      <c r="DB472" s="10"/>
      <c r="DC472" s="10"/>
      <c r="DD472" s="10"/>
      <c r="DE472" s="10"/>
      <c r="DF472" s="10"/>
      <c r="DG472" s="10"/>
      <c r="DH472" s="10"/>
      <c r="DI472" s="10"/>
      <c r="DJ472" s="10"/>
      <c r="DK472" s="10"/>
      <c r="DL472" s="10"/>
      <c r="DM472" s="10"/>
      <c r="DN472" s="10"/>
      <c r="DO472" s="10"/>
      <c r="DP472" s="10"/>
    </row>
    <row r="473" spans="2:120" x14ac:dyDescent="0.25">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c r="BP473" s="10"/>
      <c r="BQ473" s="10"/>
      <c r="BR473" s="10"/>
      <c r="BS473" s="10"/>
      <c r="BT473" s="10"/>
      <c r="BU473" s="10"/>
      <c r="BV473" s="10"/>
      <c r="BW473" s="10"/>
      <c r="BX473" s="10"/>
      <c r="BY473" s="10"/>
      <c r="BZ473" s="10"/>
      <c r="CA473" s="10"/>
      <c r="CB473" s="10"/>
      <c r="CC473" s="10"/>
      <c r="CD473" s="10"/>
      <c r="CE473" s="10"/>
      <c r="CF473" s="10"/>
      <c r="CG473" s="10"/>
      <c r="CH473" s="10"/>
      <c r="CI473" s="10"/>
      <c r="CJ473" s="10"/>
      <c r="CK473" s="10"/>
      <c r="CL473" s="10"/>
      <c r="CM473" s="10"/>
      <c r="CN473" s="10"/>
      <c r="CO473" s="10"/>
      <c r="CP473" s="10"/>
      <c r="CQ473" s="10"/>
      <c r="CR473" s="10"/>
      <c r="CS473" s="10"/>
      <c r="CT473" s="10"/>
      <c r="CU473" s="10"/>
      <c r="CV473" s="10"/>
      <c r="CW473" s="10"/>
      <c r="CX473" s="10"/>
      <c r="CY473" s="10"/>
      <c r="CZ473" s="10"/>
      <c r="DA473" s="10"/>
      <c r="DB473" s="10"/>
      <c r="DC473" s="10"/>
      <c r="DD473" s="10"/>
      <c r="DE473" s="10"/>
      <c r="DF473" s="10"/>
      <c r="DG473" s="10"/>
      <c r="DH473" s="10"/>
      <c r="DI473" s="10"/>
      <c r="DJ473" s="10"/>
      <c r="DK473" s="10"/>
      <c r="DL473" s="10"/>
      <c r="DM473" s="10"/>
      <c r="DN473" s="10"/>
      <c r="DO473" s="10"/>
      <c r="DP473" s="10"/>
    </row>
    <row r="474" spans="2:120" x14ac:dyDescent="0.25">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c r="BQ474" s="10"/>
      <c r="BR474" s="10"/>
      <c r="BS474" s="10"/>
      <c r="BT474" s="10"/>
      <c r="BU474" s="10"/>
      <c r="BV474" s="10"/>
      <c r="BW474" s="10"/>
      <c r="BX474" s="10"/>
      <c r="BY474" s="10"/>
      <c r="BZ474" s="10"/>
      <c r="CA474" s="10"/>
      <c r="CB474" s="10"/>
      <c r="CC474" s="10"/>
      <c r="CD474" s="10"/>
      <c r="CE474" s="10"/>
      <c r="CF474" s="10"/>
      <c r="CG474" s="10"/>
      <c r="CH474" s="10"/>
      <c r="CI474" s="10"/>
      <c r="CJ474" s="10"/>
      <c r="CK474" s="10"/>
      <c r="CL474" s="10"/>
      <c r="CM474" s="10"/>
      <c r="CN474" s="10"/>
      <c r="CO474" s="10"/>
      <c r="CP474" s="10"/>
      <c r="CQ474" s="10"/>
      <c r="CR474" s="10"/>
      <c r="CS474" s="10"/>
      <c r="CT474" s="10"/>
      <c r="CU474" s="10"/>
      <c r="CV474" s="10"/>
      <c r="CW474" s="10"/>
      <c r="CX474" s="10"/>
      <c r="CY474" s="10"/>
      <c r="CZ474" s="10"/>
      <c r="DA474" s="10"/>
      <c r="DB474" s="10"/>
      <c r="DC474" s="10"/>
      <c r="DD474" s="10"/>
      <c r="DE474" s="10"/>
      <c r="DF474" s="10"/>
      <c r="DG474" s="10"/>
      <c r="DH474" s="10"/>
      <c r="DI474" s="10"/>
      <c r="DJ474" s="10"/>
      <c r="DK474" s="10"/>
      <c r="DL474" s="10"/>
      <c r="DM474" s="10"/>
      <c r="DN474" s="10"/>
      <c r="DO474" s="10"/>
      <c r="DP474" s="10"/>
    </row>
    <row r="475" spans="2:120" x14ac:dyDescent="0.25">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c r="BQ475" s="10"/>
      <c r="BR475" s="10"/>
      <c r="BS475" s="10"/>
      <c r="BT475" s="10"/>
      <c r="BU475" s="10"/>
      <c r="BV475" s="10"/>
      <c r="BW475" s="10"/>
      <c r="BX475" s="10"/>
      <c r="BY475" s="10"/>
      <c r="BZ475" s="10"/>
      <c r="CA475" s="10"/>
      <c r="CB475" s="10"/>
      <c r="CC475" s="10"/>
      <c r="CD475" s="10"/>
      <c r="CE475" s="10"/>
      <c r="CF475" s="10"/>
      <c r="CG475" s="10"/>
      <c r="CH475" s="10"/>
      <c r="CI475" s="10"/>
      <c r="CJ475" s="10"/>
      <c r="CK475" s="10"/>
      <c r="CL475" s="10"/>
      <c r="CM475" s="10"/>
      <c r="CN475" s="10"/>
      <c r="CO475" s="10"/>
      <c r="CP475" s="10"/>
      <c r="CQ475" s="10"/>
      <c r="CR475" s="10"/>
      <c r="CS475" s="10"/>
      <c r="CT475" s="10"/>
      <c r="CU475" s="10"/>
      <c r="CV475" s="10"/>
      <c r="CW475" s="10"/>
      <c r="CX475" s="10"/>
      <c r="CY475" s="10"/>
      <c r="CZ475" s="10"/>
      <c r="DA475" s="10"/>
      <c r="DB475" s="10"/>
      <c r="DC475" s="10"/>
      <c r="DD475" s="10"/>
      <c r="DE475" s="10"/>
      <c r="DF475" s="10"/>
      <c r="DG475" s="10"/>
      <c r="DH475" s="10"/>
      <c r="DI475" s="10"/>
      <c r="DJ475" s="10"/>
      <c r="DK475" s="10"/>
      <c r="DL475" s="10"/>
      <c r="DM475" s="10"/>
      <c r="DN475" s="10"/>
      <c r="DO475" s="10"/>
      <c r="DP475" s="10"/>
    </row>
    <row r="476" spans="2:120" x14ac:dyDescent="0.25">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c r="BQ476" s="10"/>
      <c r="BR476" s="10"/>
      <c r="BS476" s="10"/>
      <c r="BT476" s="10"/>
      <c r="BU476" s="10"/>
      <c r="BV476" s="10"/>
      <c r="BW476" s="10"/>
      <c r="BX476" s="10"/>
      <c r="BY476" s="10"/>
      <c r="BZ476" s="10"/>
      <c r="CA476" s="10"/>
      <c r="CB476" s="10"/>
      <c r="CC476" s="10"/>
      <c r="CD476" s="10"/>
      <c r="CE476" s="10"/>
      <c r="CF476" s="10"/>
      <c r="CG476" s="10"/>
      <c r="CH476" s="10"/>
      <c r="CI476" s="10"/>
      <c r="CJ476" s="10"/>
      <c r="CK476" s="10"/>
      <c r="CL476" s="10"/>
      <c r="CM476" s="10"/>
      <c r="CN476" s="10"/>
      <c r="CO476" s="10"/>
      <c r="CP476" s="10"/>
      <c r="CQ476" s="10"/>
      <c r="CR476" s="10"/>
      <c r="CS476" s="10"/>
      <c r="CT476" s="10"/>
      <c r="CU476" s="10"/>
      <c r="CV476" s="10"/>
      <c r="CW476" s="10"/>
      <c r="CX476" s="10"/>
      <c r="CY476" s="10"/>
      <c r="CZ476" s="10"/>
      <c r="DA476" s="10"/>
      <c r="DB476" s="10"/>
      <c r="DC476" s="10"/>
      <c r="DD476" s="10"/>
      <c r="DE476" s="10"/>
      <c r="DF476" s="10"/>
      <c r="DG476" s="10"/>
      <c r="DH476" s="10"/>
      <c r="DI476" s="10"/>
      <c r="DJ476" s="10"/>
      <c r="DK476" s="10"/>
      <c r="DL476" s="10"/>
      <c r="DM476" s="10"/>
      <c r="DN476" s="10"/>
      <c r="DO476" s="10"/>
      <c r="DP476" s="10"/>
    </row>
    <row r="477" spans="2:120" x14ac:dyDescent="0.25">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10"/>
      <c r="BO477" s="10"/>
      <c r="BP477" s="10"/>
      <c r="BQ477" s="10"/>
      <c r="BR477" s="10"/>
      <c r="BS477" s="10"/>
      <c r="BT477" s="10"/>
      <c r="BU477" s="10"/>
      <c r="BV477" s="10"/>
      <c r="BW477" s="10"/>
      <c r="BX477" s="10"/>
      <c r="BY477" s="10"/>
      <c r="BZ477" s="10"/>
      <c r="CA477" s="10"/>
      <c r="CB477" s="10"/>
      <c r="CC477" s="10"/>
      <c r="CD477" s="10"/>
      <c r="CE477" s="10"/>
      <c r="CF477" s="10"/>
      <c r="CG477" s="10"/>
      <c r="CH477" s="10"/>
      <c r="CI477" s="10"/>
      <c r="CJ477" s="10"/>
      <c r="CK477" s="10"/>
      <c r="CL477" s="10"/>
      <c r="CM477" s="10"/>
      <c r="CN477" s="10"/>
      <c r="CO477" s="10"/>
      <c r="CP477" s="10"/>
      <c r="CQ477" s="10"/>
      <c r="CR477" s="10"/>
      <c r="CS477" s="10"/>
      <c r="CT477" s="10"/>
      <c r="CU477" s="10"/>
      <c r="CV477" s="10"/>
      <c r="CW477" s="10"/>
      <c r="CX477" s="10"/>
      <c r="CY477" s="10"/>
      <c r="CZ477" s="10"/>
      <c r="DA477" s="10"/>
      <c r="DB477" s="10"/>
      <c r="DC477" s="10"/>
      <c r="DD477" s="10"/>
      <c r="DE477" s="10"/>
      <c r="DF477" s="10"/>
      <c r="DG477" s="10"/>
      <c r="DH477" s="10"/>
      <c r="DI477" s="10"/>
      <c r="DJ477" s="10"/>
      <c r="DK477" s="10"/>
      <c r="DL477" s="10"/>
      <c r="DM477" s="10"/>
      <c r="DN477" s="10"/>
      <c r="DO477" s="10"/>
      <c r="DP477" s="10"/>
    </row>
    <row r="478" spans="2:120" x14ac:dyDescent="0.25">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c r="BZ478" s="10"/>
      <c r="CA478" s="10"/>
      <c r="CB478" s="10"/>
      <c r="CC478" s="10"/>
      <c r="CD478" s="10"/>
      <c r="CE478" s="10"/>
      <c r="CF478" s="10"/>
      <c r="CG478" s="10"/>
      <c r="CH478" s="10"/>
      <c r="CI478" s="10"/>
      <c r="CJ478" s="10"/>
      <c r="CK478" s="10"/>
      <c r="CL478" s="10"/>
      <c r="CM478" s="10"/>
      <c r="CN478" s="10"/>
      <c r="CO478" s="10"/>
      <c r="CP478" s="10"/>
      <c r="CQ478" s="10"/>
      <c r="CR478" s="10"/>
      <c r="CS478" s="10"/>
      <c r="CT478" s="10"/>
      <c r="CU478" s="10"/>
      <c r="CV478" s="10"/>
      <c r="CW478" s="10"/>
      <c r="CX478" s="10"/>
      <c r="CY478" s="10"/>
      <c r="CZ478" s="10"/>
      <c r="DA478" s="10"/>
      <c r="DB478" s="10"/>
      <c r="DC478" s="10"/>
      <c r="DD478" s="10"/>
      <c r="DE478" s="10"/>
      <c r="DF478" s="10"/>
      <c r="DG478" s="10"/>
      <c r="DH478" s="10"/>
      <c r="DI478" s="10"/>
      <c r="DJ478" s="10"/>
      <c r="DK478" s="10"/>
      <c r="DL478" s="10"/>
      <c r="DM478" s="10"/>
      <c r="DN478" s="10"/>
      <c r="DO478" s="10"/>
      <c r="DP478" s="10"/>
    </row>
    <row r="479" spans="2:120" x14ac:dyDescent="0.25">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c r="BT479" s="10"/>
      <c r="BU479" s="10"/>
      <c r="BV479" s="10"/>
      <c r="BW479" s="10"/>
      <c r="BX479" s="10"/>
      <c r="BY479" s="10"/>
      <c r="BZ479" s="10"/>
      <c r="CA479" s="10"/>
      <c r="CB479" s="10"/>
      <c r="CC479" s="10"/>
      <c r="CD479" s="10"/>
      <c r="CE479" s="10"/>
      <c r="CF479" s="10"/>
      <c r="CG479" s="10"/>
      <c r="CH479" s="10"/>
      <c r="CI479" s="10"/>
      <c r="CJ479" s="10"/>
      <c r="CK479" s="10"/>
      <c r="CL479" s="10"/>
      <c r="CM479" s="10"/>
      <c r="CN479" s="10"/>
      <c r="CO479" s="10"/>
      <c r="CP479" s="10"/>
      <c r="CQ479" s="10"/>
      <c r="CR479" s="10"/>
      <c r="CS479" s="10"/>
      <c r="CT479" s="10"/>
      <c r="CU479" s="10"/>
      <c r="CV479" s="10"/>
      <c r="CW479" s="10"/>
      <c r="CX479" s="10"/>
      <c r="CY479" s="10"/>
      <c r="CZ479" s="10"/>
      <c r="DA479" s="10"/>
      <c r="DB479" s="10"/>
      <c r="DC479" s="10"/>
      <c r="DD479" s="10"/>
      <c r="DE479" s="10"/>
      <c r="DF479" s="10"/>
      <c r="DG479" s="10"/>
      <c r="DH479" s="10"/>
      <c r="DI479" s="10"/>
      <c r="DJ479" s="10"/>
      <c r="DK479" s="10"/>
      <c r="DL479" s="10"/>
      <c r="DM479" s="10"/>
      <c r="DN479" s="10"/>
      <c r="DO479" s="10"/>
      <c r="DP479" s="10"/>
    </row>
    <row r="480" spans="2:120" x14ac:dyDescent="0.25">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c r="BT480" s="10"/>
      <c r="BU480" s="10"/>
      <c r="BV480" s="10"/>
      <c r="BW480" s="10"/>
      <c r="BX480" s="10"/>
      <c r="BY480" s="10"/>
      <c r="BZ480" s="10"/>
      <c r="CA480" s="10"/>
      <c r="CB480" s="10"/>
      <c r="CC480" s="10"/>
      <c r="CD480" s="10"/>
      <c r="CE480" s="10"/>
      <c r="CF480" s="10"/>
      <c r="CG480" s="10"/>
      <c r="CH480" s="10"/>
      <c r="CI480" s="10"/>
      <c r="CJ480" s="10"/>
      <c r="CK480" s="10"/>
      <c r="CL480" s="10"/>
      <c r="CM480" s="10"/>
      <c r="CN480" s="10"/>
      <c r="CO480" s="10"/>
      <c r="CP480" s="10"/>
      <c r="CQ480" s="10"/>
      <c r="CR480" s="10"/>
      <c r="CS480" s="10"/>
      <c r="CT480" s="10"/>
      <c r="CU480" s="10"/>
      <c r="CV480" s="10"/>
      <c r="CW480" s="10"/>
      <c r="CX480" s="10"/>
      <c r="CY480" s="10"/>
      <c r="CZ480" s="10"/>
      <c r="DA480" s="10"/>
      <c r="DB480" s="10"/>
      <c r="DC480" s="10"/>
      <c r="DD480" s="10"/>
      <c r="DE480" s="10"/>
      <c r="DF480" s="10"/>
      <c r="DG480" s="10"/>
      <c r="DH480" s="10"/>
      <c r="DI480" s="10"/>
      <c r="DJ480" s="10"/>
      <c r="DK480" s="10"/>
      <c r="DL480" s="10"/>
      <c r="DM480" s="10"/>
      <c r="DN480" s="10"/>
      <c r="DO480" s="10"/>
      <c r="DP480" s="10"/>
    </row>
    <row r="481" spans="2:120" x14ac:dyDescent="0.25">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c r="BT481" s="10"/>
      <c r="BU481" s="10"/>
      <c r="BV481" s="10"/>
      <c r="BW481" s="10"/>
      <c r="BX481" s="10"/>
      <c r="BY481" s="10"/>
      <c r="BZ481" s="10"/>
      <c r="CA481" s="10"/>
      <c r="CB481" s="10"/>
      <c r="CC481" s="10"/>
      <c r="CD481" s="10"/>
      <c r="CE481" s="10"/>
      <c r="CF481" s="10"/>
      <c r="CG481" s="10"/>
      <c r="CH481" s="10"/>
      <c r="CI481" s="10"/>
      <c r="CJ481" s="10"/>
      <c r="CK481" s="10"/>
      <c r="CL481" s="10"/>
      <c r="CM481" s="10"/>
      <c r="CN481" s="10"/>
      <c r="CO481" s="10"/>
      <c r="CP481" s="10"/>
      <c r="CQ481" s="10"/>
      <c r="CR481" s="10"/>
      <c r="CS481" s="10"/>
      <c r="CT481" s="10"/>
      <c r="CU481" s="10"/>
      <c r="CV481" s="10"/>
      <c r="CW481" s="10"/>
      <c r="CX481" s="10"/>
      <c r="CY481" s="10"/>
      <c r="CZ481" s="10"/>
      <c r="DA481" s="10"/>
      <c r="DB481" s="10"/>
      <c r="DC481" s="10"/>
      <c r="DD481" s="10"/>
      <c r="DE481" s="10"/>
      <c r="DF481" s="10"/>
      <c r="DG481" s="10"/>
      <c r="DH481" s="10"/>
      <c r="DI481" s="10"/>
      <c r="DJ481" s="10"/>
      <c r="DK481" s="10"/>
      <c r="DL481" s="10"/>
      <c r="DM481" s="10"/>
      <c r="DN481" s="10"/>
      <c r="DO481" s="10"/>
      <c r="DP481" s="10"/>
    </row>
    <row r="482" spans="2:120" x14ac:dyDescent="0.25">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c r="BP482" s="10"/>
      <c r="BQ482" s="10"/>
      <c r="BR482" s="10"/>
      <c r="BS482" s="10"/>
      <c r="BT482" s="10"/>
      <c r="BU482" s="10"/>
      <c r="BV482" s="10"/>
      <c r="BW482" s="10"/>
      <c r="BX482" s="10"/>
      <c r="BY482" s="10"/>
      <c r="BZ482" s="10"/>
      <c r="CA482" s="10"/>
      <c r="CB482" s="10"/>
      <c r="CC482" s="10"/>
      <c r="CD482" s="10"/>
      <c r="CE482" s="10"/>
      <c r="CF482" s="10"/>
      <c r="CG482" s="10"/>
      <c r="CH482" s="10"/>
      <c r="CI482" s="10"/>
      <c r="CJ482" s="10"/>
      <c r="CK482" s="10"/>
      <c r="CL482" s="10"/>
      <c r="CM482" s="10"/>
      <c r="CN482" s="10"/>
      <c r="CO482" s="10"/>
      <c r="CP482" s="10"/>
      <c r="CQ482" s="10"/>
      <c r="CR482" s="10"/>
      <c r="CS482" s="10"/>
      <c r="CT482" s="10"/>
      <c r="CU482" s="10"/>
      <c r="CV482" s="10"/>
      <c r="CW482" s="10"/>
      <c r="CX482" s="10"/>
      <c r="CY482" s="10"/>
      <c r="CZ482" s="10"/>
      <c r="DA482" s="10"/>
      <c r="DB482" s="10"/>
      <c r="DC482" s="10"/>
      <c r="DD482" s="10"/>
      <c r="DE482" s="10"/>
      <c r="DF482" s="10"/>
      <c r="DG482" s="10"/>
      <c r="DH482" s="10"/>
      <c r="DI482" s="10"/>
      <c r="DJ482" s="10"/>
      <c r="DK482" s="10"/>
      <c r="DL482" s="10"/>
      <c r="DM482" s="10"/>
      <c r="DN482" s="10"/>
      <c r="DO482" s="10"/>
      <c r="DP482" s="10"/>
    </row>
    <row r="483" spans="2:120" x14ac:dyDescent="0.25">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c r="BQ483" s="10"/>
      <c r="BR483" s="10"/>
      <c r="BS483" s="10"/>
      <c r="BT483" s="10"/>
      <c r="BU483" s="10"/>
      <c r="BV483" s="10"/>
      <c r="BW483" s="10"/>
      <c r="BX483" s="10"/>
      <c r="BY483" s="10"/>
      <c r="BZ483" s="10"/>
      <c r="CA483" s="10"/>
      <c r="CB483" s="10"/>
      <c r="CC483" s="10"/>
      <c r="CD483" s="10"/>
      <c r="CE483" s="10"/>
      <c r="CF483" s="10"/>
      <c r="CG483" s="10"/>
      <c r="CH483" s="10"/>
      <c r="CI483" s="10"/>
      <c r="CJ483" s="10"/>
      <c r="CK483" s="10"/>
      <c r="CL483" s="10"/>
      <c r="CM483" s="10"/>
      <c r="CN483" s="10"/>
      <c r="CO483" s="10"/>
      <c r="CP483" s="10"/>
      <c r="CQ483" s="10"/>
      <c r="CR483" s="10"/>
      <c r="CS483" s="10"/>
      <c r="CT483" s="10"/>
      <c r="CU483" s="10"/>
      <c r="CV483" s="10"/>
      <c r="CW483" s="10"/>
      <c r="CX483" s="10"/>
      <c r="CY483" s="10"/>
      <c r="CZ483" s="10"/>
      <c r="DA483" s="10"/>
      <c r="DB483" s="10"/>
      <c r="DC483" s="10"/>
      <c r="DD483" s="10"/>
      <c r="DE483" s="10"/>
      <c r="DF483" s="10"/>
      <c r="DG483" s="10"/>
      <c r="DH483" s="10"/>
      <c r="DI483" s="10"/>
      <c r="DJ483" s="10"/>
      <c r="DK483" s="10"/>
      <c r="DL483" s="10"/>
      <c r="DM483" s="10"/>
      <c r="DN483" s="10"/>
      <c r="DO483" s="10"/>
      <c r="DP483" s="10"/>
    </row>
    <row r="484" spans="2:120" x14ac:dyDescent="0.25">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10"/>
      <c r="BO484" s="10"/>
      <c r="BP484" s="10"/>
      <c r="BQ484" s="10"/>
      <c r="BR484" s="10"/>
      <c r="BS484" s="10"/>
      <c r="BT484" s="10"/>
      <c r="BU484" s="10"/>
      <c r="BV484" s="10"/>
      <c r="BW484" s="10"/>
      <c r="BX484" s="10"/>
      <c r="BY484" s="10"/>
      <c r="BZ484" s="10"/>
      <c r="CA484" s="10"/>
      <c r="CB484" s="10"/>
      <c r="CC484" s="10"/>
      <c r="CD484" s="10"/>
      <c r="CE484" s="10"/>
      <c r="CF484" s="10"/>
      <c r="CG484" s="10"/>
      <c r="CH484" s="10"/>
      <c r="CI484" s="10"/>
      <c r="CJ484" s="10"/>
      <c r="CK484" s="10"/>
      <c r="CL484" s="10"/>
      <c r="CM484" s="10"/>
      <c r="CN484" s="10"/>
      <c r="CO484" s="10"/>
      <c r="CP484" s="10"/>
      <c r="CQ484" s="10"/>
      <c r="CR484" s="10"/>
      <c r="CS484" s="10"/>
      <c r="CT484" s="10"/>
      <c r="CU484" s="10"/>
      <c r="CV484" s="10"/>
      <c r="CW484" s="10"/>
      <c r="CX484" s="10"/>
      <c r="CY484" s="10"/>
      <c r="CZ484" s="10"/>
      <c r="DA484" s="10"/>
      <c r="DB484" s="10"/>
      <c r="DC484" s="10"/>
      <c r="DD484" s="10"/>
      <c r="DE484" s="10"/>
      <c r="DF484" s="10"/>
      <c r="DG484" s="10"/>
      <c r="DH484" s="10"/>
      <c r="DI484" s="10"/>
      <c r="DJ484" s="10"/>
      <c r="DK484" s="10"/>
      <c r="DL484" s="10"/>
      <c r="DM484" s="10"/>
      <c r="DN484" s="10"/>
      <c r="DO484" s="10"/>
      <c r="DP484" s="10"/>
    </row>
    <row r="485" spans="2:120" x14ac:dyDescent="0.25">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c r="BT485" s="10"/>
      <c r="BU485" s="10"/>
      <c r="BV485" s="10"/>
      <c r="BW485" s="10"/>
      <c r="BX485" s="10"/>
      <c r="BY485" s="10"/>
      <c r="BZ485" s="10"/>
      <c r="CA485" s="10"/>
      <c r="CB485" s="10"/>
      <c r="CC485" s="10"/>
      <c r="CD485" s="10"/>
      <c r="CE485" s="10"/>
      <c r="CF485" s="10"/>
      <c r="CG485" s="10"/>
      <c r="CH485" s="10"/>
      <c r="CI485" s="10"/>
      <c r="CJ485" s="10"/>
      <c r="CK485" s="10"/>
      <c r="CL485" s="10"/>
      <c r="CM485" s="10"/>
      <c r="CN485" s="10"/>
      <c r="CO485" s="10"/>
      <c r="CP485" s="10"/>
      <c r="CQ485" s="10"/>
      <c r="CR485" s="10"/>
      <c r="CS485" s="10"/>
      <c r="CT485" s="10"/>
      <c r="CU485" s="10"/>
      <c r="CV485" s="10"/>
      <c r="CW485" s="10"/>
      <c r="CX485" s="10"/>
      <c r="CY485" s="10"/>
      <c r="CZ485" s="10"/>
      <c r="DA485" s="10"/>
      <c r="DB485" s="10"/>
      <c r="DC485" s="10"/>
      <c r="DD485" s="10"/>
      <c r="DE485" s="10"/>
      <c r="DF485" s="10"/>
      <c r="DG485" s="10"/>
      <c r="DH485" s="10"/>
      <c r="DI485" s="10"/>
      <c r="DJ485" s="10"/>
      <c r="DK485" s="10"/>
      <c r="DL485" s="10"/>
      <c r="DM485" s="10"/>
      <c r="DN485" s="10"/>
      <c r="DO485" s="10"/>
      <c r="DP485" s="10"/>
    </row>
    <row r="486" spans="2:120" x14ac:dyDescent="0.25">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10"/>
      <c r="CD486" s="10"/>
      <c r="CE486" s="10"/>
      <c r="CF486" s="10"/>
      <c r="CG486" s="10"/>
      <c r="CH486" s="10"/>
      <c r="CI486" s="10"/>
      <c r="CJ486" s="10"/>
      <c r="CK486" s="10"/>
      <c r="CL486" s="10"/>
      <c r="CM486" s="10"/>
      <c r="CN486" s="10"/>
      <c r="CO486" s="10"/>
      <c r="CP486" s="10"/>
      <c r="CQ486" s="10"/>
      <c r="CR486" s="10"/>
      <c r="CS486" s="10"/>
      <c r="CT486" s="10"/>
      <c r="CU486" s="10"/>
      <c r="CV486" s="10"/>
      <c r="CW486" s="10"/>
      <c r="CX486" s="10"/>
      <c r="CY486" s="10"/>
      <c r="CZ486" s="10"/>
      <c r="DA486" s="10"/>
      <c r="DB486" s="10"/>
      <c r="DC486" s="10"/>
      <c r="DD486" s="10"/>
      <c r="DE486" s="10"/>
      <c r="DF486" s="10"/>
      <c r="DG486" s="10"/>
      <c r="DH486" s="10"/>
      <c r="DI486" s="10"/>
      <c r="DJ486" s="10"/>
      <c r="DK486" s="10"/>
      <c r="DL486" s="10"/>
      <c r="DM486" s="10"/>
      <c r="DN486" s="10"/>
      <c r="DO486" s="10"/>
      <c r="DP486" s="10"/>
    </row>
    <row r="487" spans="2:120" x14ac:dyDescent="0.25">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c r="BP487" s="10"/>
      <c r="BQ487" s="10"/>
      <c r="BR487" s="10"/>
      <c r="BS487" s="10"/>
      <c r="BT487" s="10"/>
      <c r="BU487" s="10"/>
      <c r="BV487" s="10"/>
      <c r="BW487" s="10"/>
      <c r="BX487" s="10"/>
      <c r="BY487" s="10"/>
      <c r="BZ487" s="10"/>
      <c r="CA487" s="10"/>
      <c r="CB487" s="10"/>
      <c r="CC487" s="10"/>
      <c r="CD487" s="10"/>
      <c r="CE487" s="10"/>
      <c r="CF487" s="10"/>
      <c r="CG487" s="10"/>
      <c r="CH487" s="10"/>
      <c r="CI487" s="10"/>
      <c r="CJ487" s="10"/>
      <c r="CK487" s="10"/>
      <c r="CL487" s="10"/>
      <c r="CM487" s="10"/>
      <c r="CN487" s="10"/>
      <c r="CO487" s="10"/>
      <c r="CP487" s="10"/>
      <c r="CQ487" s="10"/>
      <c r="CR487" s="10"/>
      <c r="CS487" s="10"/>
      <c r="CT487" s="10"/>
      <c r="CU487" s="10"/>
      <c r="CV487" s="10"/>
      <c r="CW487" s="10"/>
      <c r="CX487" s="10"/>
      <c r="CY487" s="10"/>
      <c r="CZ487" s="10"/>
      <c r="DA487" s="10"/>
      <c r="DB487" s="10"/>
      <c r="DC487" s="10"/>
      <c r="DD487" s="10"/>
      <c r="DE487" s="10"/>
      <c r="DF487" s="10"/>
      <c r="DG487" s="10"/>
      <c r="DH487" s="10"/>
      <c r="DI487" s="10"/>
      <c r="DJ487" s="10"/>
      <c r="DK487" s="10"/>
      <c r="DL487" s="10"/>
      <c r="DM487" s="10"/>
      <c r="DN487" s="10"/>
      <c r="DO487" s="10"/>
      <c r="DP487" s="10"/>
    </row>
    <row r="488" spans="2:120" x14ac:dyDescent="0.25">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10"/>
      <c r="BO488" s="10"/>
      <c r="BP488" s="10"/>
      <c r="BQ488" s="10"/>
      <c r="BR488" s="10"/>
      <c r="BS488" s="10"/>
      <c r="BT488" s="10"/>
      <c r="BU488" s="10"/>
      <c r="BV488" s="10"/>
      <c r="BW488" s="10"/>
      <c r="BX488" s="10"/>
      <c r="BY488" s="10"/>
      <c r="BZ488" s="10"/>
      <c r="CA488" s="10"/>
      <c r="CB488" s="10"/>
      <c r="CC488" s="10"/>
      <c r="CD488" s="10"/>
      <c r="CE488" s="10"/>
      <c r="CF488" s="10"/>
      <c r="CG488" s="10"/>
      <c r="CH488" s="10"/>
      <c r="CI488" s="10"/>
      <c r="CJ488" s="10"/>
      <c r="CK488" s="10"/>
      <c r="CL488" s="10"/>
      <c r="CM488" s="10"/>
      <c r="CN488" s="10"/>
      <c r="CO488" s="10"/>
      <c r="CP488" s="10"/>
      <c r="CQ488" s="10"/>
      <c r="CR488" s="10"/>
      <c r="CS488" s="10"/>
      <c r="CT488" s="10"/>
      <c r="CU488" s="10"/>
      <c r="CV488" s="10"/>
      <c r="CW488" s="10"/>
      <c r="CX488" s="10"/>
      <c r="CY488" s="10"/>
      <c r="CZ488" s="10"/>
      <c r="DA488" s="10"/>
      <c r="DB488" s="10"/>
      <c r="DC488" s="10"/>
      <c r="DD488" s="10"/>
      <c r="DE488" s="10"/>
      <c r="DF488" s="10"/>
      <c r="DG488" s="10"/>
      <c r="DH488" s="10"/>
      <c r="DI488" s="10"/>
      <c r="DJ488" s="10"/>
      <c r="DK488" s="10"/>
      <c r="DL488" s="10"/>
      <c r="DM488" s="10"/>
      <c r="DN488" s="10"/>
      <c r="DO488" s="10"/>
      <c r="DP488" s="10"/>
    </row>
    <row r="489" spans="2:120" x14ac:dyDescent="0.25">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10"/>
      <c r="BO489" s="10"/>
      <c r="BP489" s="10"/>
      <c r="BQ489" s="10"/>
      <c r="BR489" s="10"/>
      <c r="BS489" s="10"/>
      <c r="BT489" s="10"/>
      <c r="BU489" s="10"/>
      <c r="BV489" s="10"/>
      <c r="BW489" s="10"/>
      <c r="BX489" s="10"/>
      <c r="BY489" s="10"/>
      <c r="BZ489" s="10"/>
      <c r="CA489" s="10"/>
      <c r="CB489" s="10"/>
      <c r="CC489" s="10"/>
      <c r="CD489" s="10"/>
      <c r="CE489" s="10"/>
      <c r="CF489" s="10"/>
      <c r="CG489" s="10"/>
      <c r="CH489" s="10"/>
      <c r="CI489" s="10"/>
      <c r="CJ489" s="10"/>
      <c r="CK489" s="10"/>
      <c r="CL489" s="10"/>
      <c r="CM489" s="10"/>
      <c r="CN489" s="10"/>
      <c r="CO489" s="10"/>
      <c r="CP489" s="10"/>
      <c r="CQ489" s="10"/>
      <c r="CR489" s="10"/>
      <c r="CS489" s="10"/>
      <c r="CT489" s="10"/>
      <c r="CU489" s="10"/>
      <c r="CV489" s="10"/>
      <c r="CW489" s="10"/>
      <c r="CX489" s="10"/>
      <c r="CY489" s="10"/>
      <c r="CZ489" s="10"/>
      <c r="DA489" s="10"/>
      <c r="DB489" s="10"/>
      <c r="DC489" s="10"/>
      <c r="DD489" s="10"/>
      <c r="DE489" s="10"/>
      <c r="DF489" s="10"/>
      <c r="DG489" s="10"/>
      <c r="DH489" s="10"/>
      <c r="DI489" s="10"/>
      <c r="DJ489" s="10"/>
      <c r="DK489" s="10"/>
      <c r="DL489" s="10"/>
      <c r="DM489" s="10"/>
      <c r="DN489" s="10"/>
      <c r="DO489" s="10"/>
      <c r="DP489" s="10"/>
    </row>
    <row r="490" spans="2:120" x14ac:dyDescent="0.25">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10"/>
      <c r="BO490" s="10"/>
      <c r="BP490" s="10"/>
      <c r="BQ490" s="10"/>
      <c r="BR490" s="10"/>
      <c r="BS490" s="10"/>
      <c r="BT490" s="10"/>
      <c r="BU490" s="10"/>
      <c r="BV490" s="10"/>
      <c r="BW490" s="10"/>
      <c r="BX490" s="10"/>
      <c r="BY490" s="10"/>
      <c r="BZ490" s="10"/>
      <c r="CA490" s="10"/>
      <c r="CB490" s="10"/>
      <c r="CC490" s="10"/>
      <c r="CD490" s="10"/>
      <c r="CE490" s="10"/>
      <c r="CF490" s="10"/>
      <c r="CG490" s="10"/>
      <c r="CH490" s="10"/>
      <c r="CI490" s="10"/>
      <c r="CJ490" s="10"/>
      <c r="CK490" s="10"/>
      <c r="CL490" s="10"/>
      <c r="CM490" s="10"/>
      <c r="CN490" s="10"/>
      <c r="CO490" s="10"/>
      <c r="CP490" s="10"/>
      <c r="CQ490" s="10"/>
      <c r="CR490" s="10"/>
      <c r="CS490" s="10"/>
      <c r="CT490" s="10"/>
      <c r="CU490" s="10"/>
      <c r="CV490" s="10"/>
      <c r="CW490" s="10"/>
      <c r="CX490" s="10"/>
      <c r="CY490" s="10"/>
      <c r="CZ490" s="10"/>
      <c r="DA490" s="10"/>
      <c r="DB490" s="10"/>
      <c r="DC490" s="10"/>
      <c r="DD490" s="10"/>
      <c r="DE490" s="10"/>
      <c r="DF490" s="10"/>
      <c r="DG490" s="10"/>
      <c r="DH490" s="10"/>
      <c r="DI490" s="10"/>
      <c r="DJ490" s="10"/>
      <c r="DK490" s="10"/>
      <c r="DL490" s="10"/>
      <c r="DM490" s="10"/>
      <c r="DN490" s="10"/>
      <c r="DO490" s="10"/>
      <c r="DP490" s="10"/>
    </row>
    <row r="491" spans="2:120" x14ac:dyDescent="0.25">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c r="BT491" s="10"/>
      <c r="BU491" s="10"/>
      <c r="BV491" s="10"/>
      <c r="BW491" s="10"/>
      <c r="BX491" s="10"/>
      <c r="BY491" s="10"/>
      <c r="BZ491" s="10"/>
      <c r="CA491" s="10"/>
      <c r="CB491" s="10"/>
      <c r="CC491" s="10"/>
      <c r="CD491" s="10"/>
      <c r="CE491" s="10"/>
      <c r="CF491" s="10"/>
      <c r="CG491" s="10"/>
      <c r="CH491" s="10"/>
      <c r="CI491" s="10"/>
      <c r="CJ491" s="10"/>
      <c r="CK491" s="10"/>
      <c r="CL491" s="10"/>
      <c r="CM491" s="10"/>
      <c r="CN491" s="10"/>
      <c r="CO491" s="10"/>
      <c r="CP491" s="10"/>
      <c r="CQ491" s="10"/>
      <c r="CR491" s="10"/>
      <c r="CS491" s="10"/>
      <c r="CT491" s="10"/>
      <c r="CU491" s="10"/>
      <c r="CV491" s="10"/>
      <c r="CW491" s="10"/>
      <c r="CX491" s="10"/>
      <c r="CY491" s="10"/>
      <c r="CZ491" s="10"/>
      <c r="DA491" s="10"/>
      <c r="DB491" s="10"/>
      <c r="DC491" s="10"/>
      <c r="DD491" s="10"/>
      <c r="DE491" s="10"/>
      <c r="DF491" s="10"/>
      <c r="DG491" s="10"/>
      <c r="DH491" s="10"/>
      <c r="DI491" s="10"/>
      <c r="DJ491" s="10"/>
      <c r="DK491" s="10"/>
      <c r="DL491" s="10"/>
      <c r="DM491" s="10"/>
      <c r="DN491" s="10"/>
      <c r="DO491" s="10"/>
      <c r="DP491" s="10"/>
    </row>
    <row r="492" spans="2:120" x14ac:dyDescent="0.25">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10"/>
      <c r="BO492" s="10"/>
      <c r="BP492" s="10"/>
      <c r="BQ492" s="10"/>
      <c r="BR492" s="10"/>
      <c r="BS492" s="10"/>
      <c r="BT492" s="10"/>
      <c r="BU492" s="10"/>
      <c r="BV492" s="10"/>
      <c r="BW492" s="10"/>
      <c r="BX492" s="10"/>
      <c r="BY492" s="10"/>
      <c r="BZ492" s="10"/>
      <c r="CA492" s="10"/>
      <c r="CB492" s="10"/>
      <c r="CC492" s="10"/>
      <c r="CD492" s="10"/>
      <c r="CE492" s="10"/>
      <c r="CF492" s="10"/>
      <c r="CG492" s="10"/>
      <c r="CH492" s="10"/>
      <c r="CI492" s="10"/>
      <c r="CJ492" s="10"/>
      <c r="CK492" s="10"/>
      <c r="CL492" s="10"/>
      <c r="CM492" s="10"/>
      <c r="CN492" s="10"/>
      <c r="CO492" s="10"/>
      <c r="CP492" s="10"/>
      <c r="CQ492" s="10"/>
      <c r="CR492" s="10"/>
      <c r="CS492" s="10"/>
      <c r="CT492" s="10"/>
      <c r="CU492" s="10"/>
      <c r="CV492" s="10"/>
      <c r="CW492" s="10"/>
      <c r="CX492" s="10"/>
      <c r="CY492" s="10"/>
      <c r="CZ492" s="10"/>
      <c r="DA492" s="10"/>
      <c r="DB492" s="10"/>
      <c r="DC492" s="10"/>
      <c r="DD492" s="10"/>
      <c r="DE492" s="10"/>
      <c r="DF492" s="10"/>
      <c r="DG492" s="10"/>
      <c r="DH492" s="10"/>
      <c r="DI492" s="10"/>
      <c r="DJ492" s="10"/>
      <c r="DK492" s="10"/>
      <c r="DL492" s="10"/>
      <c r="DM492" s="10"/>
      <c r="DN492" s="10"/>
      <c r="DO492" s="10"/>
      <c r="DP492" s="10"/>
    </row>
    <row r="493" spans="2:120" x14ac:dyDescent="0.25">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0"/>
      <c r="BM493" s="10"/>
      <c r="BN493" s="10"/>
      <c r="BO493" s="10"/>
      <c r="BP493" s="10"/>
      <c r="BQ493" s="10"/>
      <c r="BR493" s="10"/>
      <c r="BS493" s="10"/>
      <c r="BT493" s="10"/>
      <c r="BU493" s="10"/>
      <c r="BV493" s="10"/>
      <c r="BW493" s="10"/>
      <c r="BX493" s="10"/>
      <c r="BY493" s="10"/>
      <c r="BZ493" s="10"/>
      <c r="CA493" s="10"/>
      <c r="CB493" s="10"/>
      <c r="CC493" s="10"/>
      <c r="CD493" s="10"/>
      <c r="CE493" s="10"/>
      <c r="CF493" s="10"/>
      <c r="CG493" s="10"/>
      <c r="CH493" s="10"/>
      <c r="CI493" s="10"/>
      <c r="CJ493" s="10"/>
      <c r="CK493" s="10"/>
      <c r="CL493" s="10"/>
      <c r="CM493" s="10"/>
      <c r="CN493" s="10"/>
      <c r="CO493" s="10"/>
      <c r="CP493" s="10"/>
      <c r="CQ493" s="10"/>
      <c r="CR493" s="10"/>
      <c r="CS493" s="10"/>
      <c r="CT493" s="10"/>
      <c r="CU493" s="10"/>
      <c r="CV493" s="10"/>
      <c r="CW493" s="10"/>
      <c r="CX493" s="10"/>
      <c r="CY493" s="10"/>
      <c r="CZ493" s="10"/>
      <c r="DA493" s="10"/>
      <c r="DB493" s="10"/>
      <c r="DC493" s="10"/>
      <c r="DD493" s="10"/>
      <c r="DE493" s="10"/>
      <c r="DF493" s="10"/>
      <c r="DG493" s="10"/>
      <c r="DH493" s="10"/>
      <c r="DI493" s="10"/>
      <c r="DJ493" s="10"/>
      <c r="DK493" s="10"/>
      <c r="DL493" s="10"/>
      <c r="DM493" s="10"/>
      <c r="DN493" s="10"/>
      <c r="DO493" s="10"/>
      <c r="DP493" s="10"/>
    </row>
    <row r="494" spans="2:120" x14ac:dyDescent="0.25">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c r="BP494" s="10"/>
      <c r="BQ494" s="10"/>
      <c r="BR494" s="10"/>
      <c r="BS494" s="10"/>
      <c r="BT494" s="10"/>
      <c r="BU494" s="10"/>
      <c r="BV494" s="10"/>
      <c r="BW494" s="10"/>
      <c r="BX494" s="10"/>
      <c r="BY494" s="10"/>
      <c r="BZ494" s="10"/>
      <c r="CA494" s="10"/>
      <c r="CB494" s="10"/>
      <c r="CC494" s="10"/>
      <c r="CD494" s="10"/>
      <c r="CE494" s="10"/>
      <c r="CF494" s="10"/>
      <c r="CG494" s="10"/>
      <c r="CH494" s="10"/>
      <c r="CI494" s="10"/>
      <c r="CJ494" s="10"/>
      <c r="CK494" s="10"/>
      <c r="CL494" s="10"/>
      <c r="CM494" s="10"/>
      <c r="CN494" s="10"/>
      <c r="CO494" s="10"/>
      <c r="CP494" s="10"/>
      <c r="CQ494" s="10"/>
      <c r="CR494" s="10"/>
      <c r="CS494" s="10"/>
      <c r="CT494" s="10"/>
      <c r="CU494" s="10"/>
      <c r="CV494" s="10"/>
      <c r="CW494" s="10"/>
      <c r="CX494" s="10"/>
      <c r="CY494" s="10"/>
      <c r="CZ494" s="10"/>
      <c r="DA494" s="10"/>
      <c r="DB494" s="10"/>
      <c r="DC494" s="10"/>
      <c r="DD494" s="10"/>
      <c r="DE494" s="10"/>
      <c r="DF494" s="10"/>
      <c r="DG494" s="10"/>
      <c r="DH494" s="10"/>
      <c r="DI494" s="10"/>
      <c r="DJ494" s="10"/>
      <c r="DK494" s="10"/>
      <c r="DL494" s="10"/>
      <c r="DM494" s="10"/>
      <c r="DN494" s="10"/>
      <c r="DO494" s="10"/>
      <c r="DP494" s="10"/>
    </row>
    <row r="495" spans="2:120" x14ac:dyDescent="0.25">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10"/>
      <c r="BO495" s="10"/>
      <c r="BP495" s="10"/>
      <c r="BQ495" s="10"/>
      <c r="BR495" s="10"/>
      <c r="BS495" s="10"/>
      <c r="BT495" s="10"/>
      <c r="BU495" s="10"/>
      <c r="BV495" s="10"/>
      <c r="BW495" s="10"/>
      <c r="BX495" s="10"/>
      <c r="BY495" s="10"/>
      <c r="BZ495" s="10"/>
      <c r="CA495" s="10"/>
      <c r="CB495" s="10"/>
      <c r="CC495" s="10"/>
      <c r="CD495" s="10"/>
      <c r="CE495" s="10"/>
      <c r="CF495" s="10"/>
      <c r="CG495" s="10"/>
      <c r="CH495" s="10"/>
      <c r="CI495" s="10"/>
      <c r="CJ495" s="10"/>
      <c r="CK495" s="10"/>
      <c r="CL495" s="10"/>
      <c r="CM495" s="10"/>
      <c r="CN495" s="10"/>
      <c r="CO495" s="10"/>
      <c r="CP495" s="10"/>
      <c r="CQ495" s="10"/>
      <c r="CR495" s="10"/>
      <c r="CS495" s="10"/>
      <c r="CT495" s="10"/>
      <c r="CU495" s="10"/>
      <c r="CV495" s="10"/>
      <c r="CW495" s="10"/>
      <c r="CX495" s="10"/>
      <c r="CY495" s="10"/>
      <c r="CZ495" s="10"/>
      <c r="DA495" s="10"/>
      <c r="DB495" s="10"/>
      <c r="DC495" s="10"/>
      <c r="DD495" s="10"/>
      <c r="DE495" s="10"/>
      <c r="DF495" s="10"/>
      <c r="DG495" s="10"/>
      <c r="DH495" s="10"/>
      <c r="DI495" s="10"/>
      <c r="DJ495" s="10"/>
      <c r="DK495" s="10"/>
      <c r="DL495" s="10"/>
      <c r="DM495" s="10"/>
      <c r="DN495" s="10"/>
      <c r="DO495" s="10"/>
      <c r="DP495" s="10"/>
    </row>
    <row r="496" spans="2:120" x14ac:dyDescent="0.25">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0"/>
      <c r="BN496" s="10"/>
      <c r="BO496" s="10"/>
      <c r="BP496" s="10"/>
      <c r="BQ496" s="10"/>
      <c r="BR496" s="10"/>
      <c r="BS496" s="10"/>
      <c r="BT496" s="10"/>
      <c r="BU496" s="10"/>
      <c r="BV496" s="10"/>
      <c r="BW496" s="10"/>
      <c r="BX496" s="10"/>
      <c r="BY496" s="10"/>
      <c r="BZ496" s="10"/>
      <c r="CA496" s="10"/>
      <c r="CB496" s="10"/>
      <c r="CC496" s="10"/>
      <c r="CD496" s="10"/>
      <c r="CE496" s="10"/>
      <c r="CF496" s="10"/>
      <c r="CG496" s="10"/>
      <c r="CH496" s="10"/>
      <c r="CI496" s="10"/>
      <c r="CJ496" s="10"/>
      <c r="CK496" s="10"/>
      <c r="CL496" s="10"/>
      <c r="CM496" s="10"/>
      <c r="CN496" s="10"/>
      <c r="CO496" s="10"/>
      <c r="CP496" s="10"/>
      <c r="CQ496" s="10"/>
      <c r="CR496" s="10"/>
      <c r="CS496" s="10"/>
      <c r="CT496" s="10"/>
      <c r="CU496" s="10"/>
      <c r="CV496" s="10"/>
      <c r="CW496" s="10"/>
      <c r="CX496" s="10"/>
      <c r="CY496" s="10"/>
      <c r="CZ496" s="10"/>
      <c r="DA496" s="10"/>
      <c r="DB496" s="10"/>
      <c r="DC496" s="10"/>
      <c r="DD496" s="10"/>
      <c r="DE496" s="10"/>
      <c r="DF496" s="10"/>
      <c r="DG496" s="10"/>
      <c r="DH496" s="10"/>
      <c r="DI496" s="10"/>
      <c r="DJ496" s="10"/>
      <c r="DK496" s="10"/>
      <c r="DL496" s="10"/>
      <c r="DM496" s="10"/>
      <c r="DN496" s="10"/>
      <c r="DO496" s="10"/>
      <c r="DP496" s="10"/>
    </row>
    <row r="497" spans="2:120" x14ac:dyDescent="0.25">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0"/>
      <c r="BN497" s="10"/>
      <c r="BO497" s="10"/>
      <c r="BP497" s="10"/>
      <c r="BQ497" s="10"/>
      <c r="BR497" s="10"/>
      <c r="BS497" s="10"/>
      <c r="BT497" s="10"/>
      <c r="BU497" s="10"/>
      <c r="BV497" s="10"/>
      <c r="BW497" s="10"/>
      <c r="BX497" s="10"/>
      <c r="BY497" s="10"/>
      <c r="BZ497" s="10"/>
      <c r="CA497" s="10"/>
      <c r="CB497" s="10"/>
      <c r="CC497" s="10"/>
      <c r="CD497" s="10"/>
      <c r="CE497" s="10"/>
      <c r="CF497" s="10"/>
      <c r="CG497" s="10"/>
      <c r="CH497" s="10"/>
      <c r="CI497" s="10"/>
      <c r="CJ497" s="10"/>
      <c r="CK497" s="10"/>
      <c r="CL497" s="10"/>
      <c r="CM497" s="10"/>
      <c r="CN497" s="10"/>
      <c r="CO497" s="10"/>
      <c r="CP497" s="10"/>
      <c r="CQ497" s="10"/>
      <c r="CR497" s="10"/>
      <c r="CS497" s="10"/>
      <c r="CT497" s="10"/>
      <c r="CU497" s="10"/>
      <c r="CV497" s="10"/>
      <c r="CW497" s="10"/>
      <c r="CX497" s="10"/>
      <c r="CY497" s="10"/>
      <c r="CZ497" s="10"/>
      <c r="DA497" s="10"/>
      <c r="DB497" s="10"/>
      <c r="DC497" s="10"/>
      <c r="DD497" s="10"/>
      <c r="DE497" s="10"/>
      <c r="DF497" s="10"/>
      <c r="DG497" s="10"/>
      <c r="DH497" s="10"/>
      <c r="DI497" s="10"/>
      <c r="DJ497" s="10"/>
      <c r="DK497" s="10"/>
      <c r="DL497" s="10"/>
      <c r="DM497" s="10"/>
      <c r="DN497" s="10"/>
      <c r="DO497" s="10"/>
      <c r="DP497" s="10"/>
    </row>
    <row r="498" spans="2:120" x14ac:dyDescent="0.25">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10"/>
      <c r="BO498" s="10"/>
      <c r="BP498" s="10"/>
      <c r="BQ498" s="10"/>
      <c r="BR498" s="10"/>
      <c r="BS498" s="10"/>
      <c r="BT498" s="10"/>
      <c r="BU498" s="10"/>
      <c r="BV498" s="10"/>
      <c r="BW498" s="10"/>
      <c r="BX498" s="10"/>
      <c r="BY498" s="10"/>
      <c r="BZ498" s="10"/>
      <c r="CA498" s="10"/>
      <c r="CB498" s="10"/>
      <c r="CC498" s="10"/>
      <c r="CD498" s="10"/>
      <c r="CE498" s="10"/>
      <c r="CF498" s="10"/>
      <c r="CG498" s="10"/>
      <c r="CH498" s="10"/>
      <c r="CI498" s="10"/>
      <c r="CJ498" s="10"/>
      <c r="CK498" s="10"/>
      <c r="CL498" s="10"/>
      <c r="CM498" s="10"/>
      <c r="CN498" s="10"/>
      <c r="CO498" s="10"/>
      <c r="CP498" s="10"/>
      <c r="CQ498" s="10"/>
      <c r="CR498" s="10"/>
      <c r="CS498" s="10"/>
      <c r="CT498" s="10"/>
      <c r="CU498" s="10"/>
      <c r="CV498" s="10"/>
      <c r="CW498" s="10"/>
      <c r="CX498" s="10"/>
      <c r="CY498" s="10"/>
      <c r="CZ498" s="10"/>
      <c r="DA498" s="10"/>
      <c r="DB498" s="10"/>
      <c r="DC498" s="10"/>
      <c r="DD498" s="10"/>
      <c r="DE498" s="10"/>
      <c r="DF498" s="10"/>
      <c r="DG498" s="10"/>
      <c r="DH498" s="10"/>
      <c r="DI498" s="10"/>
      <c r="DJ498" s="10"/>
      <c r="DK498" s="10"/>
      <c r="DL498" s="10"/>
      <c r="DM498" s="10"/>
      <c r="DN498" s="10"/>
      <c r="DO498" s="10"/>
      <c r="DP498" s="10"/>
    </row>
    <row r="499" spans="2:120" x14ac:dyDescent="0.25">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0"/>
      <c r="BN499" s="10"/>
      <c r="BO499" s="10"/>
      <c r="BP499" s="10"/>
      <c r="BQ499" s="10"/>
      <c r="BR499" s="10"/>
      <c r="BS499" s="10"/>
      <c r="BT499" s="10"/>
      <c r="BU499" s="10"/>
      <c r="BV499" s="10"/>
      <c r="BW499" s="10"/>
      <c r="BX499" s="10"/>
      <c r="BY499" s="10"/>
      <c r="BZ499" s="10"/>
      <c r="CA499" s="10"/>
      <c r="CB499" s="10"/>
      <c r="CC499" s="10"/>
      <c r="CD499" s="10"/>
      <c r="CE499" s="10"/>
      <c r="CF499" s="10"/>
      <c r="CG499" s="10"/>
      <c r="CH499" s="10"/>
      <c r="CI499" s="10"/>
      <c r="CJ499" s="10"/>
      <c r="CK499" s="10"/>
      <c r="CL499" s="10"/>
      <c r="CM499" s="10"/>
      <c r="CN499" s="10"/>
      <c r="CO499" s="10"/>
      <c r="CP499" s="10"/>
      <c r="CQ499" s="10"/>
      <c r="CR499" s="10"/>
      <c r="CS499" s="10"/>
      <c r="CT499" s="10"/>
      <c r="CU499" s="10"/>
      <c r="CV499" s="10"/>
      <c r="CW499" s="10"/>
      <c r="CX499" s="10"/>
      <c r="CY499" s="10"/>
      <c r="CZ499" s="10"/>
      <c r="DA499" s="10"/>
      <c r="DB499" s="10"/>
      <c r="DC499" s="10"/>
      <c r="DD499" s="10"/>
      <c r="DE499" s="10"/>
      <c r="DF499" s="10"/>
      <c r="DG499" s="10"/>
      <c r="DH499" s="10"/>
      <c r="DI499" s="10"/>
      <c r="DJ499" s="10"/>
      <c r="DK499" s="10"/>
      <c r="DL499" s="10"/>
      <c r="DM499" s="10"/>
      <c r="DN499" s="10"/>
      <c r="DO499" s="10"/>
      <c r="DP499" s="10"/>
    </row>
    <row r="500" spans="2:120" x14ac:dyDescent="0.25">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0"/>
      <c r="BN500" s="10"/>
      <c r="BO500" s="10"/>
      <c r="BP500" s="10"/>
      <c r="BQ500" s="10"/>
      <c r="BR500" s="10"/>
      <c r="BS500" s="10"/>
      <c r="BT500" s="10"/>
      <c r="BU500" s="10"/>
      <c r="BV500" s="10"/>
      <c r="BW500" s="10"/>
      <c r="BX500" s="10"/>
      <c r="BY500" s="10"/>
      <c r="BZ500" s="10"/>
      <c r="CA500" s="10"/>
      <c r="CB500" s="10"/>
      <c r="CC500" s="10"/>
      <c r="CD500" s="10"/>
      <c r="CE500" s="10"/>
      <c r="CF500" s="10"/>
      <c r="CG500" s="10"/>
      <c r="CH500" s="10"/>
      <c r="CI500" s="10"/>
      <c r="CJ500" s="10"/>
      <c r="CK500" s="10"/>
      <c r="CL500" s="10"/>
      <c r="CM500" s="10"/>
      <c r="CN500" s="10"/>
      <c r="CO500" s="10"/>
      <c r="CP500" s="10"/>
      <c r="CQ500" s="10"/>
      <c r="CR500" s="10"/>
      <c r="CS500" s="10"/>
      <c r="CT500" s="10"/>
      <c r="CU500" s="10"/>
      <c r="CV500" s="10"/>
      <c r="CW500" s="10"/>
      <c r="CX500" s="10"/>
      <c r="CY500" s="10"/>
      <c r="CZ500" s="10"/>
      <c r="DA500" s="10"/>
      <c r="DB500" s="10"/>
      <c r="DC500" s="10"/>
      <c r="DD500" s="10"/>
      <c r="DE500" s="10"/>
      <c r="DF500" s="10"/>
      <c r="DG500" s="10"/>
      <c r="DH500" s="10"/>
      <c r="DI500" s="10"/>
      <c r="DJ500" s="10"/>
      <c r="DK500" s="10"/>
      <c r="DL500" s="10"/>
      <c r="DM500" s="10"/>
      <c r="DN500" s="10"/>
      <c r="DO500" s="10"/>
      <c r="DP500" s="10"/>
    </row>
    <row r="501" spans="2:120" x14ac:dyDescent="0.25">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0"/>
      <c r="BN501" s="10"/>
      <c r="BO501" s="10"/>
      <c r="BP501" s="10"/>
      <c r="BQ501" s="10"/>
      <c r="BR501" s="10"/>
      <c r="BS501" s="10"/>
      <c r="BT501" s="10"/>
      <c r="BU501" s="10"/>
      <c r="BV501" s="10"/>
      <c r="BW501" s="10"/>
      <c r="BX501" s="10"/>
      <c r="BY501" s="10"/>
      <c r="BZ501" s="10"/>
      <c r="CA501" s="10"/>
      <c r="CB501" s="10"/>
      <c r="CC501" s="10"/>
      <c r="CD501" s="10"/>
      <c r="CE501" s="10"/>
      <c r="CF501" s="10"/>
      <c r="CG501" s="10"/>
      <c r="CH501" s="10"/>
      <c r="CI501" s="10"/>
      <c r="CJ501" s="10"/>
      <c r="CK501" s="10"/>
      <c r="CL501" s="10"/>
      <c r="CM501" s="10"/>
      <c r="CN501" s="10"/>
      <c r="CO501" s="10"/>
      <c r="CP501" s="10"/>
      <c r="CQ501" s="10"/>
      <c r="CR501" s="10"/>
      <c r="CS501" s="10"/>
      <c r="CT501" s="10"/>
      <c r="CU501" s="10"/>
      <c r="CV501" s="10"/>
      <c r="CW501" s="10"/>
      <c r="CX501" s="10"/>
      <c r="CY501" s="10"/>
      <c r="CZ501" s="10"/>
      <c r="DA501" s="10"/>
      <c r="DB501" s="10"/>
      <c r="DC501" s="10"/>
      <c r="DD501" s="10"/>
      <c r="DE501" s="10"/>
      <c r="DF501" s="10"/>
      <c r="DG501" s="10"/>
      <c r="DH501" s="10"/>
      <c r="DI501" s="10"/>
      <c r="DJ501" s="10"/>
      <c r="DK501" s="10"/>
      <c r="DL501" s="10"/>
      <c r="DM501" s="10"/>
      <c r="DN501" s="10"/>
      <c r="DO501" s="10"/>
      <c r="DP501" s="10"/>
    </row>
    <row r="502" spans="2:120" x14ac:dyDescent="0.25">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0"/>
      <c r="BN502" s="10"/>
      <c r="BO502" s="10"/>
      <c r="BP502" s="10"/>
      <c r="BQ502" s="10"/>
      <c r="BR502" s="10"/>
      <c r="BS502" s="10"/>
      <c r="BT502" s="10"/>
      <c r="BU502" s="10"/>
      <c r="BV502" s="10"/>
      <c r="BW502" s="10"/>
      <c r="BX502" s="10"/>
      <c r="BY502" s="10"/>
      <c r="BZ502" s="10"/>
      <c r="CA502" s="10"/>
      <c r="CB502" s="10"/>
      <c r="CC502" s="10"/>
      <c r="CD502" s="10"/>
      <c r="CE502" s="10"/>
      <c r="CF502" s="10"/>
      <c r="CG502" s="10"/>
      <c r="CH502" s="10"/>
      <c r="CI502" s="10"/>
      <c r="CJ502" s="10"/>
      <c r="CK502" s="10"/>
      <c r="CL502" s="10"/>
      <c r="CM502" s="10"/>
      <c r="CN502" s="10"/>
      <c r="CO502" s="10"/>
      <c r="CP502" s="10"/>
      <c r="CQ502" s="10"/>
      <c r="CR502" s="10"/>
      <c r="CS502" s="10"/>
      <c r="CT502" s="10"/>
      <c r="CU502" s="10"/>
      <c r="CV502" s="10"/>
      <c r="CW502" s="10"/>
      <c r="CX502" s="10"/>
      <c r="CY502" s="10"/>
      <c r="CZ502" s="10"/>
      <c r="DA502" s="10"/>
      <c r="DB502" s="10"/>
      <c r="DC502" s="10"/>
      <c r="DD502" s="10"/>
      <c r="DE502" s="10"/>
      <c r="DF502" s="10"/>
      <c r="DG502" s="10"/>
      <c r="DH502" s="10"/>
      <c r="DI502" s="10"/>
      <c r="DJ502" s="10"/>
      <c r="DK502" s="10"/>
      <c r="DL502" s="10"/>
      <c r="DM502" s="10"/>
      <c r="DN502" s="10"/>
      <c r="DO502" s="10"/>
      <c r="DP502" s="10"/>
    </row>
    <row r="503" spans="2:120" x14ac:dyDescent="0.25">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0"/>
      <c r="BN503" s="10"/>
      <c r="BO503" s="10"/>
      <c r="BP503" s="10"/>
      <c r="BQ503" s="10"/>
      <c r="BR503" s="10"/>
      <c r="BS503" s="10"/>
      <c r="BT503" s="10"/>
      <c r="BU503" s="10"/>
      <c r="BV503" s="10"/>
      <c r="BW503" s="10"/>
      <c r="BX503" s="10"/>
      <c r="BY503" s="10"/>
      <c r="BZ503" s="10"/>
      <c r="CA503" s="10"/>
      <c r="CB503" s="10"/>
      <c r="CC503" s="10"/>
      <c r="CD503" s="10"/>
      <c r="CE503" s="10"/>
      <c r="CF503" s="10"/>
      <c r="CG503" s="10"/>
      <c r="CH503" s="10"/>
      <c r="CI503" s="10"/>
      <c r="CJ503" s="10"/>
      <c r="CK503" s="10"/>
      <c r="CL503" s="10"/>
      <c r="CM503" s="10"/>
      <c r="CN503" s="10"/>
      <c r="CO503" s="10"/>
      <c r="CP503" s="10"/>
      <c r="CQ503" s="10"/>
      <c r="CR503" s="10"/>
      <c r="CS503" s="10"/>
      <c r="CT503" s="10"/>
      <c r="CU503" s="10"/>
      <c r="CV503" s="10"/>
      <c r="CW503" s="10"/>
      <c r="CX503" s="10"/>
      <c r="CY503" s="10"/>
      <c r="CZ503" s="10"/>
      <c r="DA503" s="10"/>
      <c r="DB503" s="10"/>
      <c r="DC503" s="10"/>
      <c r="DD503" s="10"/>
      <c r="DE503" s="10"/>
      <c r="DF503" s="10"/>
      <c r="DG503" s="10"/>
      <c r="DH503" s="10"/>
      <c r="DI503" s="10"/>
      <c r="DJ503" s="10"/>
      <c r="DK503" s="10"/>
      <c r="DL503" s="10"/>
      <c r="DM503" s="10"/>
      <c r="DN503" s="10"/>
      <c r="DO503" s="10"/>
      <c r="DP503" s="10"/>
    </row>
    <row r="504" spans="2:120" x14ac:dyDescent="0.25">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10"/>
      <c r="CD504" s="10"/>
      <c r="CE504" s="10"/>
      <c r="CF504" s="10"/>
      <c r="CG504" s="10"/>
      <c r="CH504" s="10"/>
      <c r="CI504" s="10"/>
      <c r="CJ504" s="10"/>
      <c r="CK504" s="10"/>
      <c r="CL504" s="10"/>
      <c r="CM504" s="10"/>
      <c r="CN504" s="10"/>
      <c r="CO504" s="10"/>
      <c r="CP504" s="10"/>
      <c r="CQ504" s="10"/>
      <c r="CR504" s="10"/>
      <c r="CS504" s="10"/>
      <c r="CT504" s="10"/>
      <c r="CU504" s="10"/>
      <c r="CV504" s="10"/>
      <c r="CW504" s="10"/>
      <c r="CX504" s="10"/>
      <c r="CY504" s="10"/>
      <c r="CZ504" s="10"/>
      <c r="DA504" s="10"/>
      <c r="DB504" s="10"/>
      <c r="DC504" s="10"/>
      <c r="DD504" s="10"/>
      <c r="DE504" s="10"/>
      <c r="DF504" s="10"/>
      <c r="DG504" s="10"/>
      <c r="DH504" s="10"/>
      <c r="DI504" s="10"/>
      <c r="DJ504" s="10"/>
      <c r="DK504" s="10"/>
      <c r="DL504" s="10"/>
      <c r="DM504" s="10"/>
      <c r="DN504" s="10"/>
      <c r="DO504" s="10"/>
      <c r="DP504" s="10"/>
    </row>
    <row r="505" spans="2:120" x14ac:dyDescent="0.25">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0"/>
      <c r="BM505" s="10"/>
      <c r="BN505" s="10"/>
      <c r="BO505" s="10"/>
      <c r="BP505" s="10"/>
      <c r="BQ505" s="10"/>
      <c r="BR505" s="10"/>
      <c r="BS505" s="10"/>
      <c r="BT505" s="10"/>
      <c r="BU505" s="10"/>
      <c r="BV505" s="10"/>
      <c r="BW505" s="10"/>
      <c r="BX505" s="10"/>
      <c r="BY505" s="10"/>
      <c r="BZ505" s="10"/>
      <c r="CA505" s="10"/>
      <c r="CB505" s="10"/>
      <c r="CC505" s="10"/>
      <c r="CD505" s="10"/>
      <c r="CE505" s="10"/>
      <c r="CF505" s="10"/>
      <c r="CG505" s="10"/>
      <c r="CH505" s="10"/>
      <c r="CI505" s="10"/>
      <c r="CJ505" s="10"/>
      <c r="CK505" s="10"/>
      <c r="CL505" s="10"/>
      <c r="CM505" s="10"/>
      <c r="CN505" s="10"/>
      <c r="CO505" s="10"/>
      <c r="CP505" s="10"/>
      <c r="CQ505" s="10"/>
      <c r="CR505" s="10"/>
      <c r="CS505" s="10"/>
      <c r="CT505" s="10"/>
      <c r="CU505" s="10"/>
      <c r="CV505" s="10"/>
      <c r="CW505" s="10"/>
      <c r="CX505" s="10"/>
      <c r="CY505" s="10"/>
      <c r="CZ505" s="10"/>
      <c r="DA505" s="10"/>
      <c r="DB505" s="10"/>
      <c r="DC505" s="10"/>
      <c r="DD505" s="10"/>
      <c r="DE505" s="10"/>
      <c r="DF505" s="10"/>
      <c r="DG505" s="10"/>
      <c r="DH505" s="10"/>
      <c r="DI505" s="10"/>
      <c r="DJ505" s="10"/>
      <c r="DK505" s="10"/>
      <c r="DL505" s="10"/>
      <c r="DM505" s="10"/>
      <c r="DN505" s="10"/>
      <c r="DO505" s="10"/>
      <c r="DP505" s="10"/>
    </row>
    <row r="506" spans="2:120" x14ac:dyDescent="0.25">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0"/>
      <c r="BN506" s="10"/>
      <c r="BO506" s="10"/>
      <c r="BP506" s="10"/>
      <c r="BQ506" s="10"/>
      <c r="BR506" s="10"/>
      <c r="BS506" s="10"/>
      <c r="BT506" s="10"/>
      <c r="BU506" s="10"/>
      <c r="BV506" s="10"/>
      <c r="BW506" s="10"/>
      <c r="BX506" s="10"/>
      <c r="BY506" s="10"/>
      <c r="BZ506" s="10"/>
      <c r="CA506" s="10"/>
      <c r="CB506" s="10"/>
      <c r="CC506" s="10"/>
      <c r="CD506" s="10"/>
      <c r="CE506" s="10"/>
      <c r="CF506" s="10"/>
      <c r="CG506" s="10"/>
      <c r="CH506" s="10"/>
      <c r="CI506" s="10"/>
      <c r="CJ506" s="10"/>
      <c r="CK506" s="10"/>
      <c r="CL506" s="10"/>
      <c r="CM506" s="10"/>
      <c r="CN506" s="10"/>
      <c r="CO506" s="10"/>
      <c r="CP506" s="10"/>
      <c r="CQ506" s="10"/>
      <c r="CR506" s="10"/>
      <c r="CS506" s="10"/>
      <c r="CT506" s="10"/>
      <c r="CU506" s="10"/>
      <c r="CV506" s="10"/>
      <c r="CW506" s="10"/>
      <c r="CX506" s="10"/>
      <c r="CY506" s="10"/>
      <c r="CZ506" s="10"/>
      <c r="DA506" s="10"/>
      <c r="DB506" s="10"/>
      <c r="DC506" s="10"/>
      <c r="DD506" s="10"/>
      <c r="DE506" s="10"/>
      <c r="DF506" s="10"/>
      <c r="DG506" s="10"/>
      <c r="DH506" s="10"/>
      <c r="DI506" s="10"/>
      <c r="DJ506" s="10"/>
      <c r="DK506" s="10"/>
      <c r="DL506" s="10"/>
      <c r="DM506" s="10"/>
      <c r="DN506" s="10"/>
      <c r="DO506" s="10"/>
      <c r="DP506" s="10"/>
    </row>
    <row r="507" spans="2:120" x14ac:dyDescent="0.25">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0"/>
      <c r="BM507" s="10"/>
      <c r="BN507" s="10"/>
      <c r="BO507" s="10"/>
      <c r="BP507" s="10"/>
      <c r="BQ507" s="10"/>
      <c r="BR507" s="10"/>
      <c r="BS507" s="10"/>
      <c r="BT507" s="10"/>
      <c r="BU507" s="10"/>
      <c r="BV507" s="10"/>
      <c r="BW507" s="10"/>
      <c r="BX507" s="10"/>
      <c r="BY507" s="10"/>
      <c r="BZ507" s="10"/>
      <c r="CA507" s="10"/>
      <c r="CB507" s="10"/>
      <c r="CC507" s="10"/>
      <c r="CD507" s="10"/>
      <c r="CE507" s="10"/>
      <c r="CF507" s="10"/>
      <c r="CG507" s="10"/>
      <c r="CH507" s="10"/>
      <c r="CI507" s="10"/>
      <c r="CJ507" s="10"/>
      <c r="CK507" s="10"/>
      <c r="CL507" s="10"/>
      <c r="CM507" s="10"/>
      <c r="CN507" s="10"/>
      <c r="CO507" s="10"/>
      <c r="CP507" s="10"/>
      <c r="CQ507" s="10"/>
      <c r="CR507" s="10"/>
      <c r="CS507" s="10"/>
      <c r="CT507" s="10"/>
      <c r="CU507" s="10"/>
      <c r="CV507" s="10"/>
      <c r="CW507" s="10"/>
      <c r="CX507" s="10"/>
      <c r="CY507" s="10"/>
      <c r="CZ507" s="10"/>
      <c r="DA507" s="10"/>
      <c r="DB507" s="10"/>
      <c r="DC507" s="10"/>
      <c r="DD507" s="10"/>
      <c r="DE507" s="10"/>
      <c r="DF507" s="10"/>
      <c r="DG507" s="10"/>
      <c r="DH507" s="10"/>
      <c r="DI507" s="10"/>
      <c r="DJ507" s="10"/>
      <c r="DK507" s="10"/>
      <c r="DL507" s="10"/>
      <c r="DM507" s="10"/>
      <c r="DN507" s="10"/>
      <c r="DO507" s="10"/>
      <c r="DP507" s="10"/>
    </row>
    <row r="508" spans="2:120" x14ac:dyDescent="0.25">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c r="BZ508" s="10"/>
      <c r="CA508" s="10"/>
      <c r="CB508" s="10"/>
      <c r="CC508" s="10"/>
      <c r="CD508" s="10"/>
      <c r="CE508" s="10"/>
      <c r="CF508" s="10"/>
      <c r="CG508" s="10"/>
      <c r="CH508" s="10"/>
      <c r="CI508" s="10"/>
      <c r="CJ508" s="10"/>
      <c r="CK508" s="10"/>
      <c r="CL508" s="10"/>
      <c r="CM508" s="10"/>
      <c r="CN508" s="10"/>
      <c r="CO508" s="10"/>
      <c r="CP508" s="10"/>
      <c r="CQ508" s="10"/>
      <c r="CR508" s="10"/>
      <c r="CS508" s="10"/>
      <c r="CT508" s="10"/>
      <c r="CU508" s="10"/>
      <c r="CV508" s="10"/>
      <c r="CW508" s="10"/>
      <c r="CX508" s="10"/>
      <c r="CY508" s="10"/>
      <c r="CZ508" s="10"/>
      <c r="DA508" s="10"/>
      <c r="DB508" s="10"/>
      <c r="DC508" s="10"/>
      <c r="DD508" s="10"/>
      <c r="DE508" s="10"/>
      <c r="DF508" s="10"/>
      <c r="DG508" s="10"/>
      <c r="DH508" s="10"/>
      <c r="DI508" s="10"/>
      <c r="DJ508" s="10"/>
      <c r="DK508" s="10"/>
      <c r="DL508" s="10"/>
      <c r="DM508" s="10"/>
      <c r="DN508" s="10"/>
      <c r="DO508" s="10"/>
      <c r="DP508" s="10"/>
    </row>
    <row r="509" spans="2:120" x14ac:dyDescent="0.25">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10"/>
      <c r="BO509" s="10"/>
      <c r="BP509" s="10"/>
      <c r="BQ509" s="10"/>
      <c r="BR509" s="10"/>
      <c r="BS509" s="10"/>
      <c r="BT509" s="10"/>
      <c r="BU509" s="10"/>
      <c r="BV509" s="10"/>
      <c r="BW509" s="10"/>
      <c r="BX509" s="10"/>
      <c r="BY509" s="10"/>
      <c r="BZ509" s="10"/>
      <c r="CA509" s="10"/>
      <c r="CB509" s="10"/>
      <c r="CC509" s="10"/>
      <c r="CD509" s="10"/>
      <c r="CE509" s="10"/>
      <c r="CF509" s="10"/>
      <c r="CG509" s="10"/>
      <c r="CH509" s="10"/>
      <c r="CI509" s="10"/>
      <c r="CJ509" s="10"/>
      <c r="CK509" s="10"/>
      <c r="CL509" s="10"/>
      <c r="CM509" s="10"/>
      <c r="CN509" s="10"/>
      <c r="CO509" s="10"/>
      <c r="CP509" s="10"/>
      <c r="CQ509" s="10"/>
      <c r="CR509" s="10"/>
      <c r="CS509" s="10"/>
      <c r="CT509" s="10"/>
      <c r="CU509" s="10"/>
      <c r="CV509" s="10"/>
      <c r="CW509" s="10"/>
      <c r="CX509" s="10"/>
      <c r="CY509" s="10"/>
      <c r="CZ509" s="10"/>
      <c r="DA509" s="10"/>
      <c r="DB509" s="10"/>
      <c r="DC509" s="10"/>
      <c r="DD509" s="10"/>
      <c r="DE509" s="10"/>
      <c r="DF509" s="10"/>
      <c r="DG509" s="10"/>
      <c r="DH509" s="10"/>
      <c r="DI509" s="10"/>
      <c r="DJ509" s="10"/>
      <c r="DK509" s="10"/>
      <c r="DL509" s="10"/>
      <c r="DM509" s="10"/>
      <c r="DN509" s="10"/>
      <c r="DO509" s="10"/>
      <c r="DP509" s="10"/>
    </row>
    <row r="510" spans="2:120" x14ac:dyDescent="0.25">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10"/>
      <c r="BO510" s="10"/>
      <c r="BP510" s="10"/>
      <c r="BQ510" s="10"/>
      <c r="BR510" s="10"/>
      <c r="BS510" s="10"/>
      <c r="BT510" s="10"/>
      <c r="BU510" s="10"/>
      <c r="BV510" s="10"/>
      <c r="BW510" s="10"/>
      <c r="BX510" s="10"/>
      <c r="BY510" s="10"/>
      <c r="BZ510" s="10"/>
      <c r="CA510" s="10"/>
      <c r="CB510" s="10"/>
      <c r="CC510" s="10"/>
      <c r="CD510" s="10"/>
      <c r="CE510" s="10"/>
      <c r="CF510" s="10"/>
      <c r="CG510" s="10"/>
      <c r="CH510" s="10"/>
      <c r="CI510" s="10"/>
      <c r="CJ510" s="10"/>
      <c r="CK510" s="10"/>
      <c r="CL510" s="10"/>
      <c r="CM510" s="10"/>
      <c r="CN510" s="10"/>
      <c r="CO510" s="10"/>
      <c r="CP510" s="10"/>
      <c r="CQ510" s="10"/>
      <c r="CR510" s="10"/>
      <c r="CS510" s="10"/>
      <c r="CT510" s="10"/>
      <c r="CU510" s="10"/>
      <c r="CV510" s="10"/>
      <c r="CW510" s="10"/>
      <c r="CX510" s="10"/>
      <c r="CY510" s="10"/>
      <c r="CZ510" s="10"/>
      <c r="DA510" s="10"/>
      <c r="DB510" s="10"/>
      <c r="DC510" s="10"/>
      <c r="DD510" s="10"/>
      <c r="DE510" s="10"/>
      <c r="DF510" s="10"/>
      <c r="DG510" s="10"/>
      <c r="DH510" s="10"/>
      <c r="DI510" s="10"/>
      <c r="DJ510" s="10"/>
      <c r="DK510" s="10"/>
      <c r="DL510" s="10"/>
      <c r="DM510" s="10"/>
      <c r="DN510" s="10"/>
      <c r="DO510" s="10"/>
      <c r="DP510" s="10"/>
    </row>
    <row r="511" spans="2:120" x14ac:dyDescent="0.25">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0"/>
      <c r="BM511" s="10"/>
      <c r="BN511" s="10"/>
      <c r="BO511" s="10"/>
      <c r="BP511" s="10"/>
      <c r="BQ511" s="10"/>
      <c r="BR511" s="10"/>
      <c r="BS511" s="10"/>
      <c r="BT511" s="10"/>
      <c r="BU511" s="10"/>
      <c r="BV511" s="10"/>
      <c r="BW511" s="10"/>
      <c r="BX511" s="10"/>
      <c r="BY511" s="10"/>
      <c r="BZ511" s="10"/>
      <c r="CA511" s="10"/>
      <c r="CB511" s="10"/>
      <c r="CC511" s="10"/>
      <c r="CD511" s="10"/>
      <c r="CE511" s="10"/>
      <c r="CF511" s="10"/>
      <c r="CG511" s="10"/>
      <c r="CH511" s="10"/>
      <c r="CI511" s="10"/>
      <c r="CJ511" s="10"/>
      <c r="CK511" s="10"/>
      <c r="CL511" s="10"/>
      <c r="CM511" s="10"/>
      <c r="CN511" s="10"/>
      <c r="CO511" s="10"/>
      <c r="CP511" s="10"/>
      <c r="CQ511" s="10"/>
      <c r="CR511" s="10"/>
      <c r="CS511" s="10"/>
      <c r="CT511" s="10"/>
      <c r="CU511" s="10"/>
      <c r="CV511" s="10"/>
      <c r="CW511" s="10"/>
      <c r="CX511" s="10"/>
      <c r="CY511" s="10"/>
      <c r="CZ511" s="10"/>
      <c r="DA511" s="10"/>
      <c r="DB511" s="10"/>
      <c r="DC511" s="10"/>
      <c r="DD511" s="10"/>
      <c r="DE511" s="10"/>
      <c r="DF511" s="10"/>
      <c r="DG511" s="10"/>
      <c r="DH511" s="10"/>
      <c r="DI511" s="10"/>
      <c r="DJ511" s="10"/>
      <c r="DK511" s="10"/>
      <c r="DL511" s="10"/>
      <c r="DM511" s="10"/>
      <c r="DN511" s="10"/>
      <c r="DO511" s="10"/>
      <c r="DP511" s="10"/>
    </row>
    <row r="512" spans="2:120" x14ac:dyDescent="0.25">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0"/>
      <c r="BM512" s="10"/>
      <c r="BN512" s="10"/>
      <c r="BO512" s="10"/>
      <c r="BP512" s="10"/>
      <c r="BQ512" s="10"/>
      <c r="BR512" s="10"/>
      <c r="BS512" s="10"/>
      <c r="BT512" s="10"/>
      <c r="BU512" s="10"/>
      <c r="BV512" s="10"/>
      <c r="BW512" s="10"/>
      <c r="BX512" s="10"/>
      <c r="BY512" s="10"/>
      <c r="BZ512" s="10"/>
      <c r="CA512" s="10"/>
      <c r="CB512" s="10"/>
      <c r="CC512" s="10"/>
      <c r="CD512" s="10"/>
      <c r="CE512" s="10"/>
      <c r="CF512" s="10"/>
      <c r="CG512" s="10"/>
      <c r="CH512" s="10"/>
      <c r="CI512" s="10"/>
      <c r="CJ512" s="10"/>
      <c r="CK512" s="10"/>
      <c r="CL512" s="10"/>
      <c r="CM512" s="10"/>
      <c r="CN512" s="10"/>
      <c r="CO512" s="10"/>
      <c r="CP512" s="10"/>
      <c r="CQ512" s="10"/>
      <c r="CR512" s="10"/>
      <c r="CS512" s="10"/>
      <c r="CT512" s="10"/>
      <c r="CU512" s="10"/>
      <c r="CV512" s="10"/>
      <c r="CW512" s="10"/>
      <c r="CX512" s="10"/>
      <c r="CY512" s="10"/>
      <c r="CZ512" s="10"/>
      <c r="DA512" s="10"/>
      <c r="DB512" s="10"/>
      <c r="DC512" s="10"/>
      <c r="DD512" s="10"/>
      <c r="DE512" s="10"/>
      <c r="DF512" s="10"/>
      <c r="DG512" s="10"/>
      <c r="DH512" s="10"/>
      <c r="DI512" s="10"/>
      <c r="DJ512" s="10"/>
      <c r="DK512" s="10"/>
      <c r="DL512" s="10"/>
      <c r="DM512" s="10"/>
      <c r="DN512" s="10"/>
      <c r="DO512" s="10"/>
      <c r="DP512" s="10"/>
    </row>
    <row r="513" spans="2:120" x14ac:dyDescent="0.25">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0"/>
      <c r="BN513" s="10"/>
      <c r="BO513" s="10"/>
      <c r="BP513" s="10"/>
      <c r="BQ513" s="10"/>
      <c r="BR513" s="10"/>
      <c r="BS513" s="10"/>
      <c r="BT513" s="10"/>
      <c r="BU513" s="10"/>
      <c r="BV513" s="10"/>
      <c r="BW513" s="10"/>
      <c r="BX513" s="10"/>
      <c r="BY513" s="10"/>
      <c r="BZ513" s="10"/>
      <c r="CA513" s="10"/>
      <c r="CB513" s="10"/>
      <c r="CC513" s="10"/>
      <c r="CD513" s="10"/>
      <c r="CE513" s="10"/>
      <c r="CF513" s="10"/>
      <c r="CG513" s="10"/>
      <c r="CH513" s="10"/>
      <c r="CI513" s="10"/>
      <c r="CJ513" s="10"/>
      <c r="CK513" s="10"/>
      <c r="CL513" s="10"/>
      <c r="CM513" s="10"/>
      <c r="CN513" s="10"/>
      <c r="CO513" s="10"/>
      <c r="CP513" s="10"/>
      <c r="CQ513" s="10"/>
      <c r="CR513" s="10"/>
      <c r="CS513" s="10"/>
      <c r="CT513" s="10"/>
      <c r="CU513" s="10"/>
      <c r="CV513" s="10"/>
      <c r="CW513" s="10"/>
      <c r="CX513" s="10"/>
      <c r="CY513" s="10"/>
      <c r="CZ513" s="10"/>
      <c r="DA513" s="10"/>
      <c r="DB513" s="10"/>
      <c r="DC513" s="10"/>
      <c r="DD513" s="10"/>
      <c r="DE513" s="10"/>
      <c r="DF513" s="10"/>
      <c r="DG513" s="10"/>
      <c r="DH513" s="10"/>
      <c r="DI513" s="10"/>
      <c r="DJ513" s="10"/>
      <c r="DK513" s="10"/>
      <c r="DL513" s="10"/>
      <c r="DM513" s="10"/>
      <c r="DN513" s="10"/>
      <c r="DO513" s="10"/>
      <c r="DP513" s="10"/>
    </row>
    <row r="514" spans="2:120" x14ac:dyDescent="0.25">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0"/>
      <c r="BM514" s="10"/>
      <c r="BN514" s="10"/>
      <c r="BO514" s="10"/>
      <c r="BP514" s="10"/>
      <c r="BQ514" s="10"/>
      <c r="BR514" s="10"/>
      <c r="BS514" s="10"/>
      <c r="BT514" s="10"/>
      <c r="BU514" s="10"/>
      <c r="BV514" s="10"/>
      <c r="BW514" s="10"/>
      <c r="BX514" s="10"/>
      <c r="BY514" s="10"/>
      <c r="BZ514" s="10"/>
      <c r="CA514" s="10"/>
      <c r="CB514" s="10"/>
      <c r="CC514" s="10"/>
      <c r="CD514" s="10"/>
      <c r="CE514" s="10"/>
      <c r="CF514" s="10"/>
      <c r="CG514" s="10"/>
      <c r="CH514" s="10"/>
      <c r="CI514" s="10"/>
      <c r="CJ514" s="10"/>
      <c r="CK514" s="10"/>
      <c r="CL514" s="10"/>
      <c r="CM514" s="10"/>
      <c r="CN514" s="10"/>
      <c r="CO514" s="10"/>
      <c r="CP514" s="10"/>
      <c r="CQ514" s="10"/>
      <c r="CR514" s="10"/>
      <c r="CS514" s="10"/>
      <c r="CT514" s="10"/>
      <c r="CU514" s="10"/>
      <c r="CV514" s="10"/>
      <c r="CW514" s="10"/>
      <c r="CX514" s="10"/>
      <c r="CY514" s="10"/>
      <c r="CZ514" s="10"/>
      <c r="DA514" s="10"/>
      <c r="DB514" s="10"/>
      <c r="DC514" s="10"/>
      <c r="DD514" s="10"/>
      <c r="DE514" s="10"/>
      <c r="DF514" s="10"/>
      <c r="DG514" s="10"/>
      <c r="DH514" s="10"/>
      <c r="DI514" s="10"/>
      <c r="DJ514" s="10"/>
      <c r="DK514" s="10"/>
      <c r="DL514" s="10"/>
      <c r="DM514" s="10"/>
      <c r="DN514" s="10"/>
      <c r="DO514" s="10"/>
      <c r="DP514" s="10"/>
    </row>
    <row r="515" spans="2:120" x14ac:dyDescent="0.25">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0"/>
      <c r="BM515" s="10"/>
      <c r="BN515" s="10"/>
      <c r="BO515" s="10"/>
      <c r="BP515" s="10"/>
      <c r="BQ515" s="10"/>
      <c r="BR515" s="10"/>
      <c r="BS515" s="10"/>
      <c r="BT515" s="10"/>
      <c r="BU515" s="10"/>
      <c r="BV515" s="10"/>
      <c r="BW515" s="10"/>
      <c r="BX515" s="10"/>
      <c r="BY515" s="10"/>
      <c r="BZ515" s="10"/>
      <c r="CA515" s="10"/>
      <c r="CB515" s="10"/>
      <c r="CC515" s="10"/>
      <c r="CD515" s="10"/>
      <c r="CE515" s="10"/>
      <c r="CF515" s="10"/>
      <c r="CG515" s="10"/>
      <c r="CH515" s="10"/>
      <c r="CI515" s="10"/>
      <c r="CJ515" s="10"/>
      <c r="CK515" s="10"/>
      <c r="CL515" s="10"/>
      <c r="CM515" s="10"/>
      <c r="CN515" s="10"/>
      <c r="CO515" s="10"/>
      <c r="CP515" s="10"/>
      <c r="CQ515" s="10"/>
      <c r="CR515" s="10"/>
      <c r="CS515" s="10"/>
      <c r="CT515" s="10"/>
      <c r="CU515" s="10"/>
      <c r="CV515" s="10"/>
      <c r="CW515" s="10"/>
      <c r="CX515" s="10"/>
      <c r="CY515" s="10"/>
      <c r="CZ515" s="10"/>
      <c r="DA515" s="10"/>
      <c r="DB515" s="10"/>
      <c r="DC515" s="10"/>
      <c r="DD515" s="10"/>
      <c r="DE515" s="10"/>
      <c r="DF515" s="10"/>
      <c r="DG515" s="10"/>
      <c r="DH515" s="10"/>
      <c r="DI515" s="10"/>
      <c r="DJ515" s="10"/>
      <c r="DK515" s="10"/>
      <c r="DL515" s="10"/>
      <c r="DM515" s="10"/>
      <c r="DN515" s="10"/>
      <c r="DO515" s="10"/>
      <c r="DP515" s="10"/>
    </row>
    <row r="516" spans="2:120" x14ac:dyDescent="0.25">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0"/>
      <c r="BM516" s="10"/>
      <c r="BN516" s="10"/>
      <c r="BO516" s="10"/>
      <c r="BP516" s="10"/>
      <c r="BQ516" s="10"/>
      <c r="BR516" s="10"/>
      <c r="BS516" s="10"/>
      <c r="BT516" s="10"/>
      <c r="BU516" s="10"/>
      <c r="BV516" s="10"/>
      <c r="BW516" s="10"/>
      <c r="BX516" s="10"/>
      <c r="BY516" s="10"/>
      <c r="BZ516" s="10"/>
      <c r="CA516" s="10"/>
      <c r="CB516" s="10"/>
      <c r="CC516" s="10"/>
      <c r="CD516" s="10"/>
      <c r="CE516" s="10"/>
      <c r="CF516" s="10"/>
      <c r="CG516" s="10"/>
      <c r="CH516" s="10"/>
      <c r="CI516" s="10"/>
      <c r="CJ516" s="10"/>
      <c r="CK516" s="10"/>
      <c r="CL516" s="10"/>
      <c r="CM516" s="10"/>
      <c r="CN516" s="10"/>
      <c r="CO516" s="10"/>
      <c r="CP516" s="10"/>
      <c r="CQ516" s="10"/>
      <c r="CR516" s="10"/>
      <c r="CS516" s="10"/>
      <c r="CT516" s="10"/>
      <c r="CU516" s="10"/>
      <c r="CV516" s="10"/>
      <c r="CW516" s="10"/>
      <c r="CX516" s="10"/>
      <c r="CY516" s="10"/>
      <c r="CZ516" s="10"/>
      <c r="DA516" s="10"/>
      <c r="DB516" s="10"/>
      <c r="DC516" s="10"/>
      <c r="DD516" s="10"/>
      <c r="DE516" s="10"/>
      <c r="DF516" s="10"/>
      <c r="DG516" s="10"/>
      <c r="DH516" s="10"/>
      <c r="DI516" s="10"/>
      <c r="DJ516" s="10"/>
      <c r="DK516" s="10"/>
      <c r="DL516" s="10"/>
      <c r="DM516" s="10"/>
      <c r="DN516" s="10"/>
      <c r="DO516" s="10"/>
      <c r="DP516" s="10"/>
    </row>
    <row r="517" spans="2:120" x14ac:dyDescent="0.25">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0"/>
      <c r="BM517" s="10"/>
      <c r="BN517" s="10"/>
      <c r="BO517" s="10"/>
      <c r="BP517" s="10"/>
      <c r="BQ517" s="10"/>
      <c r="BR517" s="10"/>
      <c r="BS517" s="10"/>
      <c r="BT517" s="10"/>
      <c r="BU517" s="10"/>
      <c r="BV517" s="10"/>
      <c r="BW517" s="10"/>
      <c r="BX517" s="10"/>
      <c r="BY517" s="10"/>
      <c r="BZ517" s="10"/>
      <c r="CA517" s="10"/>
      <c r="CB517" s="10"/>
      <c r="CC517" s="10"/>
      <c r="CD517" s="10"/>
      <c r="CE517" s="10"/>
      <c r="CF517" s="10"/>
      <c r="CG517" s="10"/>
      <c r="CH517" s="10"/>
      <c r="CI517" s="10"/>
      <c r="CJ517" s="10"/>
      <c r="CK517" s="10"/>
      <c r="CL517" s="10"/>
      <c r="CM517" s="10"/>
      <c r="CN517" s="10"/>
      <c r="CO517" s="10"/>
      <c r="CP517" s="10"/>
      <c r="CQ517" s="10"/>
      <c r="CR517" s="10"/>
      <c r="CS517" s="10"/>
      <c r="CT517" s="10"/>
      <c r="CU517" s="10"/>
      <c r="CV517" s="10"/>
      <c r="CW517" s="10"/>
      <c r="CX517" s="10"/>
      <c r="CY517" s="10"/>
      <c r="CZ517" s="10"/>
      <c r="DA517" s="10"/>
      <c r="DB517" s="10"/>
      <c r="DC517" s="10"/>
      <c r="DD517" s="10"/>
      <c r="DE517" s="10"/>
      <c r="DF517" s="10"/>
      <c r="DG517" s="10"/>
      <c r="DH517" s="10"/>
      <c r="DI517" s="10"/>
      <c r="DJ517" s="10"/>
      <c r="DK517" s="10"/>
      <c r="DL517" s="10"/>
      <c r="DM517" s="10"/>
      <c r="DN517" s="10"/>
      <c r="DO517" s="10"/>
      <c r="DP517" s="10"/>
    </row>
    <row r="518" spans="2:120" x14ac:dyDescent="0.25">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0"/>
      <c r="BM518" s="10"/>
      <c r="BN518" s="10"/>
      <c r="BO518" s="10"/>
      <c r="BP518" s="10"/>
      <c r="BQ518" s="10"/>
      <c r="BR518" s="10"/>
      <c r="BS518" s="10"/>
      <c r="BT518" s="10"/>
      <c r="BU518" s="10"/>
      <c r="BV518" s="10"/>
      <c r="BW518" s="10"/>
      <c r="BX518" s="10"/>
      <c r="BY518" s="10"/>
      <c r="BZ518" s="10"/>
      <c r="CA518" s="10"/>
      <c r="CB518" s="10"/>
      <c r="CC518" s="10"/>
      <c r="CD518" s="10"/>
      <c r="CE518" s="10"/>
      <c r="CF518" s="10"/>
      <c r="CG518" s="10"/>
      <c r="CH518" s="10"/>
      <c r="CI518" s="10"/>
      <c r="CJ518" s="10"/>
      <c r="CK518" s="10"/>
      <c r="CL518" s="10"/>
      <c r="CM518" s="10"/>
      <c r="CN518" s="10"/>
      <c r="CO518" s="10"/>
      <c r="CP518" s="10"/>
      <c r="CQ518" s="10"/>
      <c r="CR518" s="10"/>
      <c r="CS518" s="10"/>
      <c r="CT518" s="10"/>
      <c r="CU518" s="10"/>
      <c r="CV518" s="10"/>
      <c r="CW518" s="10"/>
      <c r="CX518" s="10"/>
      <c r="CY518" s="10"/>
      <c r="CZ518" s="10"/>
      <c r="DA518" s="10"/>
      <c r="DB518" s="10"/>
      <c r="DC518" s="10"/>
      <c r="DD518" s="10"/>
      <c r="DE518" s="10"/>
      <c r="DF518" s="10"/>
      <c r="DG518" s="10"/>
      <c r="DH518" s="10"/>
      <c r="DI518" s="10"/>
      <c r="DJ518" s="10"/>
      <c r="DK518" s="10"/>
      <c r="DL518" s="10"/>
      <c r="DM518" s="10"/>
      <c r="DN518" s="10"/>
      <c r="DO518" s="10"/>
      <c r="DP518" s="10"/>
    </row>
    <row r="519" spans="2:120" x14ac:dyDescent="0.25">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0"/>
      <c r="BM519" s="10"/>
      <c r="BN519" s="10"/>
      <c r="BO519" s="10"/>
      <c r="BP519" s="10"/>
      <c r="BQ519" s="10"/>
      <c r="BR519" s="10"/>
      <c r="BS519" s="10"/>
      <c r="BT519" s="10"/>
      <c r="BU519" s="10"/>
      <c r="BV519" s="10"/>
      <c r="BW519" s="10"/>
      <c r="BX519" s="10"/>
      <c r="BY519" s="10"/>
      <c r="BZ519" s="10"/>
      <c r="CA519" s="10"/>
      <c r="CB519" s="10"/>
      <c r="CC519" s="10"/>
      <c r="CD519" s="10"/>
      <c r="CE519" s="10"/>
      <c r="CF519" s="10"/>
      <c r="CG519" s="10"/>
      <c r="CH519" s="10"/>
      <c r="CI519" s="10"/>
      <c r="CJ519" s="10"/>
      <c r="CK519" s="10"/>
      <c r="CL519" s="10"/>
      <c r="CM519" s="10"/>
      <c r="CN519" s="10"/>
      <c r="CO519" s="10"/>
      <c r="CP519" s="10"/>
      <c r="CQ519" s="10"/>
      <c r="CR519" s="10"/>
      <c r="CS519" s="10"/>
      <c r="CT519" s="10"/>
      <c r="CU519" s="10"/>
      <c r="CV519" s="10"/>
      <c r="CW519" s="10"/>
      <c r="CX519" s="10"/>
      <c r="CY519" s="10"/>
      <c r="CZ519" s="10"/>
      <c r="DA519" s="10"/>
      <c r="DB519" s="10"/>
      <c r="DC519" s="10"/>
      <c r="DD519" s="10"/>
      <c r="DE519" s="10"/>
      <c r="DF519" s="10"/>
      <c r="DG519" s="10"/>
      <c r="DH519" s="10"/>
      <c r="DI519" s="10"/>
      <c r="DJ519" s="10"/>
      <c r="DK519" s="10"/>
      <c r="DL519" s="10"/>
      <c r="DM519" s="10"/>
      <c r="DN519" s="10"/>
      <c r="DO519" s="10"/>
      <c r="DP519" s="10"/>
    </row>
    <row r="520" spans="2:120" x14ac:dyDescent="0.25">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0"/>
      <c r="BM520" s="10"/>
      <c r="BN520" s="10"/>
      <c r="BO520" s="10"/>
      <c r="BP520" s="10"/>
      <c r="BQ520" s="10"/>
      <c r="BR520" s="10"/>
      <c r="BS520" s="10"/>
      <c r="BT520" s="10"/>
      <c r="BU520" s="10"/>
      <c r="BV520" s="10"/>
      <c r="BW520" s="10"/>
      <c r="BX520" s="10"/>
      <c r="BY520" s="10"/>
      <c r="BZ520" s="10"/>
      <c r="CA520" s="10"/>
      <c r="CB520" s="10"/>
      <c r="CC520" s="10"/>
      <c r="CD520" s="10"/>
      <c r="CE520" s="10"/>
      <c r="CF520" s="10"/>
      <c r="CG520" s="10"/>
      <c r="CH520" s="10"/>
      <c r="CI520" s="10"/>
      <c r="CJ520" s="10"/>
      <c r="CK520" s="10"/>
      <c r="CL520" s="10"/>
      <c r="CM520" s="10"/>
      <c r="CN520" s="10"/>
      <c r="CO520" s="10"/>
      <c r="CP520" s="10"/>
      <c r="CQ520" s="10"/>
      <c r="CR520" s="10"/>
      <c r="CS520" s="10"/>
      <c r="CT520" s="10"/>
      <c r="CU520" s="10"/>
      <c r="CV520" s="10"/>
      <c r="CW520" s="10"/>
      <c r="CX520" s="10"/>
      <c r="CY520" s="10"/>
      <c r="CZ520" s="10"/>
      <c r="DA520" s="10"/>
      <c r="DB520" s="10"/>
      <c r="DC520" s="10"/>
      <c r="DD520" s="10"/>
      <c r="DE520" s="10"/>
      <c r="DF520" s="10"/>
      <c r="DG520" s="10"/>
      <c r="DH520" s="10"/>
      <c r="DI520" s="10"/>
      <c r="DJ520" s="10"/>
      <c r="DK520" s="10"/>
      <c r="DL520" s="10"/>
      <c r="DM520" s="10"/>
      <c r="DN520" s="10"/>
      <c r="DO520" s="10"/>
      <c r="DP520" s="10"/>
    </row>
    <row r="521" spans="2:120" x14ac:dyDescent="0.25">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0"/>
      <c r="BM521" s="10"/>
      <c r="BN521" s="10"/>
      <c r="BO521" s="10"/>
      <c r="BP521" s="10"/>
      <c r="BQ521" s="10"/>
      <c r="BR521" s="10"/>
      <c r="BS521" s="10"/>
      <c r="BT521" s="10"/>
      <c r="BU521" s="10"/>
      <c r="BV521" s="10"/>
      <c r="BW521" s="10"/>
      <c r="BX521" s="10"/>
      <c r="BY521" s="10"/>
      <c r="BZ521" s="10"/>
      <c r="CA521" s="10"/>
      <c r="CB521" s="10"/>
      <c r="CC521" s="10"/>
      <c r="CD521" s="10"/>
      <c r="CE521" s="10"/>
      <c r="CF521" s="10"/>
      <c r="CG521" s="10"/>
      <c r="CH521" s="10"/>
      <c r="CI521" s="10"/>
      <c r="CJ521" s="10"/>
      <c r="CK521" s="10"/>
      <c r="CL521" s="10"/>
      <c r="CM521" s="10"/>
      <c r="CN521" s="10"/>
      <c r="CO521" s="10"/>
      <c r="CP521" s="10"/>
      <c r="CQ521" s="10"/>
      <c r="CR521" s="10"/>
      <c r="CS521" s="10"/>
      <c r="CT521" s="10"/>
      <c r="CU521" s="10"/>
      <c r="CV521" s="10"/>
      <c r="CW521" s="10"/>
      <c r="CX521" s="10"/>
      <c r="CY521" s="10"/>
      <c r="CZ521" s="10"/>
      <c r="DA521" s="10"/>
      <c r="DB521" s="10"/>
      <c r="DC521" s="10"/>
      <c r="DD521" s="10"/>
      <c r="DE521" s="10"/>
      <c r="DF521" s="10"/>
      <c r="DG521" s="10"/>
      <c r="DH521" s="10"/>
      <c r="DI521" s="10"/>
      <c r="DJ521" s="10"/>
      <c r="DK521" s="10"/>
      <c r="DL521" s="10"/>
      <c r="DM521" s="10"/>
      <c r="DN521" s="10"/>
      <c r="DO521" s="10"/>
      <c r="DP521" s="10"/>
    </row>
    <row r="522" spans="2:120" x14ac:dyDescent="0.25">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0"/>
      <c r="BM522" s="10"/>
      <c r="BN522" s="10"/>
      <c r="BO522" s="10"/>
      <c r="BP522" s="10"/>
      <c r="BQ522" s="10"/>
      <c r="BR522" s="10"/>
      <c r="BS522" s="10"/>
      <c r="BT522" s="10"/>
      <c r="BU522" s="10"/>
      <c r="BV522" s="10"/>
      <c r="BW522" s="10"/>
      <c r="BX522" s="10"/>
      <c r="BY522" s="10"/>
      <c r="BZ522" s="10"/>
      <c r="CA522" s="10"/>
      <c r="CB522" s="10"/>
      <c r="CC522" s="10"/>
      <c r="CD522" s="10"/>
      <c r="CE522" s="10"/>
      <c r="CF522" s="10"/>
      <c r="CG522" s="10"/>
      <c r="CH522" s="10"/>
      <c r="CI522" s="10"/>
      <c r="CJ522" s="10"/>
      <c r="CK522" s="10"/>
      <c r="CL522" s="10"/>
      <c r="CM522" s="10"/>
      <c r="CN522" s="10"/>
      <c r="CO522" s="10"/>
      <c r="CP522" s="10"/>
      <c r="CQ522" s="10"/>
      <c r="CR522" s="10"/>
      <c r="CS522" s="10"/>
      <c r="CT522" s="10"/>
      <c r="CU522" s="10"/>
      <c r="CV522" s="10"/>
      <c r="CW522" s="10"/>
      <c r="CX522" s="10"/>
      <c r="CY522" s="10"/>
      <c r="CZ522" s="10"/>
      <c r="DA522" s="10"/>
      <c r="DB522" s="10"/>
      <c r="DC522" s="10"/>
      <c r="DD522" s="10"/>
      <c r="DE522" s="10"/>
      <c r="DF522" s="10"/>
      <c r="DG522" s="10"/>
      <c r="DH522" s="10"/>
      <c r="DI522" s="10"/>
      <c r="DJ522" s="10"/>
      <c r="DK522" s="10"/>
      <c r="DL522" s="10"/>
      <c r="DM522" s="10"/>
      <c r="DN522" s="10"/>
      <c r="DO522" s="10"/>
      <c r="DP522" s="10"/>
    </row>
    <row r="523" spans="2:120" x14ac:dyDescent="0.25">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10"/>
      <c r="BM523" s="10"/>
      <c r="BN523" s="10"/>
      <c r="BO523" s="10"/>
      <c r="BP523" s="10"/>
      <c r="BQ523" s="10"/>
      <c r="BR523" s="10"/>
      <c r="BS523" s="10"/>
      <c r="BT523" s="10"/>
      <c r="BU523" s="10"/>
      <c r="BV523" s="10"/>
      <c r="BW523" s="10"/>
      <c r="BX523" s="10"/>
      <c r="BY523" s="10"/>
      <c r="BZ523" s="10"/>
      <c r="CA523" s="10"/>
      <c r="CB523" s="10"/>
      <c r="CC523" s="10"/>
      <c r="CD523" s="10"/>
      <c r="CE523" s="10"/>
      <c r="CF523" s="10"/>
      <c r="CG523" s="10"/>
      <c r="CH523" s="10"/>
      <c r="CI523" s="10"/>
      <c r="CJ523" s="10"/>
      <c r="CK523" s="10"/>
      <c r="CL523" s="10"/>
      <c r="CM523" s="10"/>
      <c r="CN523" s="10"/>
      <c r="CO523" s="10"/>
      <c r="CP523" s="10"/>
      <c r="CQ523" s="10"/>
      <c r="CR523" s="10"/>
      <c r="CS523" s="10"/>
      <c r="CT523" s="10"/>
      <c r="CU523" s="10"/>
      <c r="CV523" s="10"/>
      <c r="CW523" s="10"/>
      <c r="CX523" s="10"/>
      <c r="CY523" s="10"/>
      <c r="CZ523" s="10"/>
      <c r="DA523" s="10"/>
      <c r="DB523" s="10"/>
      <c r="DC523" s="10"/>
      <c r="DD523" s="10"/>
      <c r="DE523" s="10"/>
      <c r="DF523" s="10"/>
      <c r="DG523" s="10"/>
      <c r="DH523" s="10"/>
      <c r="DI523" s="10"/>
      <c r="DJ523" s="10"/>
      <c r="DK523" s="10"/>
      <c r="DL523" s="10"/>
      <c r="DM523" s="10"/>
      <c r="DN523" s="10"/>
      <c r="DO523" s="10"/>
      <c r="DP523" s="10"/>
    </row>
    <row r="524" spans="2:120" x14ac:dyDescent="0.25">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10"/>
      <c r="BM524" s="10"/>
      <c r="BN524" s="10"/>
      <c r="BO524" s="10"/>
      <c r="BP524" s="10"/>
      <c r="BQ524" s="10"/>
      <c r="BR524" s="10"/>
      <c r="BS524" s="10"/>
      <c r="BT524" s="10"/>
      <c r="BU524" s="10"/>
      <c r="BV524" s="10"/>
      <c r="BW524" s="10"/>
      <c r="BX524" s="10"/>
      <c r="BY524" s="10"/>
      <c r="BZ524" s="10"/>
      <c r="CA524" s="10"/>
      <c r="CB524" s="10"/>
      <c r="CC524" s="10"/>
      <c r="CD524" s="10"/>
      <c r="CE524" s="10"/>
      <c r="CF524" s="10"/>
      <c r="CG524" s="10"/>
      <c r="CH524" s="10"/>
      <c r="CI524" s="10"/>
      <c r="CJ524" s="10"/>
      <c r="CK524" s="10"/>
      <c r="CL524" s="10"/>
      <c r="CM524" s="10"/>
      <c r="CN524" s="10"/>
      <c r="CO524" s="10"/>
      <c r="CP524" s="10"/>
      <c r="CQ524" s="10"/>
      <c r="CR524" s="10"/>
      <c r="CS524" s="10"/>
      <c r="CT524" s="10"/>
      <c r="CU524" s="10"/>
      <c r="CV524" s="10"/>
      <c r="CW524" s="10"/>
      <c r="CX524" s="10"/>
      <c r="CY524" s="10"/>
      <c r="CZ524" s="10"/>
      <c r="DA524" s="10"/>
      <c r="DB524" s="10"/>
      <c r="DC524" s="10"/>
      <c r="DD524" s="10"/>
      <c r="DE524" s="10"/>
      <c r="DF524" s="10"/>
      <c r="DG524" s="10"/>
      <c r="DH524" s="10"/>
      <c r="DI524" s="10"/>
      <c r="DJ524" s="10"/>
      <c r="DK524" s="10"/>
      <c r="DL524" s="10"/>
      <c r="DM524" s="10"/>
      <c r="DN524" s="10"/>
      <c r="DO524" s="10"/>
      <c r="DP524" s="10"/>
    </row>
    <row r="525" spans="2:120" x14ac:dyDescent="0.25">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0"/>
      <c r="BM525" s="10"/>
      <c r="BN525" s="10"/>
      <c r="BO525" s="10"/>
      <c r="BP525" s="10"/>
      <c r="BQ525" s="10"/>
      <c r="BR525" s="10"/>
      <c r="BS525" s="10"/>
      <c r="BT525" s="10"/>
      <c r="BU525" s="10"/>
      <c r="BV525" s="10"/>
      <c r="BW525" s="10"/>
      <c r="BX525" s="10"/>
      <c r="BY525" s="10"/>
      <c r="BZ525" s="10"/>
      <c r="CA525" s="10"/>
      <c r="CB525" s="10"/>
      <c r="CC525" s="10"/>
      <c r="CD525" s="10"/>
      <c r="CE525" s="10"/>
      <c r="CF525" s="10"/>
      <c r="CG525" s="10"/>
      <c r="CH525" s="10"/>
      <c r="CI525" s="10"/>
      <c r="CJ525" s="10"/>
      <c r="CK525" s="10"/>
      <c r="CL525" s="10"/>
      <c r="CM525" s="10"/>
      <c r="CN525" s="10"/>
      <c r="CO525" s="10"/>
      <c r="CP525" s="10"/>
      <c r="CQ525" s="10"/>
      <c r="CR525" s="10"/>
      <c r="CS525" s="10"/>
      <c r="CT525" s="10"/>
      <c r="CU525" s="10"/>
      <c r="CV525" s="10"/>
      <c r="CW525" s="10"/>
      <c r="CX525" s="10"/>
      <c r="CY525" s="10"/>
      <c r="CZ525" s="10"/>
      <c r="DA525" s="10"/>
      <c r="DB525" s="10"/>
      <c r="DC525" s="10"/>
      <c r="DD525" s="10"/>
      <c r="DE525" s="10"/>
      <c r="DF525" s="10"/>
      <c r="DG525" s="10"/>
      <c r="DH525" s="10"/>
      <c r="DI525" s="10"/>
      <c r="DJ525" s="10"/>
      <c r="DK525" s="10"/>
      <c r="DL525" s="10"/>
      <c r="DM525" s="10"/>
      <c r="DN525" s="10"/>
      <c r="DO525" s="10"/>
      <c r="DP525" s="10"/>
    </row>
    <row r="526" spans="2:120" x14ac:dyDescent="0.25">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10"/>
      <c r="BM526" s="10"/>
      <c r="BN526" s="10"/>
      <c r="BO526" s="10"/>
      <c r="BP526" s="10"/>
      <c r="BQ526" s="10"/>
      <c r="BR526" s="10"/>
      <c r="BS526" s="10"/>
      <c r="BT526" s="10"/>
      <c r="BU526" s="10"/>
      <c r="BV526" s="10"/>
      <c r="BW526" s="10"/>
      <c r="BX526" s="10"/>
      <c r="BY526" s="10"/>
      <c r="BZ526" s="10"/>
      <c r="CA526" s="10"/>
      <c r="CB526" s="10"/>
      <c r="CC526" s="10"/>
      <c r="CD526" s="10"/>
      <c r="CE526" s="10"/>
      <c r="CF526" s="10"/>
      <c r="CG526" s="10"/>
      <c r="CH526" s="10"/>
      <c r="CI526" s="10"/>
      <c r="CJ526" s="10"/>
      <c r="CK526" s="10"/>
      <c r="CL526" s="10"/>
      <c r="CM526" s="10"/>
      <c r="CN526" s="10"/>
      <c r="CO526" s="10"/>
      <c r="CP526" s="10"/>
      <c r="CQ526" s="10"/>
      <c r="CR526" s="10"/>
      <c r="CS526" s="10"/>
      <c r="CT526" s="10"/>
      <c r="CU526" s="10"/>
      <c r="CV526" s="10"/>
      <c r="CW526" s="10"/>
      <c r="CX526" s="10"/>
      <c r="CY526" s="10"/>
      <c r="CZ526" s="10"/>
      <c r="DA526" s="10"/>
      <c r="DB526" s="10"/>
      <c r="DC526" s="10"/>
      <c r="DD526" s="10"/>
      <c r="DE526" s="10"/>
      <c r="DF526" s="10"/>
      <c r="DG526" s="10"/>
      <c r="DH526" s="10"/>
      <c r="DI526" s="10"/>
      <c r="DJ526" s="10"/>
      <c r="DK526" s="10"/>
      <c r="DL526" s="10"/>
      <c r="DM526" s="10"/>
      <c r="DN526" s="10"/>
      <c r="DO526" s="10"/>
      <c r="DP526" s="10"/>
    </row>
    <row r="527" spans="2:120" x14ac:dyDescent="0.25">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10"/>
      <c r="BM527" s="10"/>
      <c r="BN527" s="10"/>
      <c r="BO527" s="10"/>
      <c r="BP527" s="10"/>
      <c r="BQ527" s="10"/>
      <c r="BR527" s="10"/>
      <c r="BS527" s="10"/>
      <c r="BT527" s="10"/>
      <c r="BU527" s="10"/>
      <c r="BV527" s="10"/>
      <c r="BW527" s="10"/>
      <c r="BX527" s="10"/>
      <c r="BY527" s="10"/>
      <c r="BZ527" s="10"/>
      <c r="CA527" s="10"/>
      <c r="CB527" s="10"/>
      <c r="CC527" s="10"/>
      <c r="CD527" s="10"/>
      <c r="CE527" s="10"/>
      <c r="CF527" s="10"/>
      <c r="CG527" s="10"/>
      <c r="CH527" s="10"/>
      <c r="CI527" s="10"/>
      <c r="CJ527" s="10"/>
      <c r="CK527" s="10"/>
      <c r="CL527" s="10"/>
      <c r="CM527" s="10"/>
      <c r="CN527" s="10"/>
      <c r="CO527" s="10"/>
      <c r="CP527" s="10"/>
      <c r="CQ527" s="10"/>
      <c r="CR527" s="10"/>
      <c r="CS527" s="10"/>
      <c r="CT527" s="10"/>
      <c r="CU527" s="10"/>
      <c r="CV527" s="10"/>
      <c r="CW527" s="10"/>
      <c r="CX527" s="10"/>
      <c r="CY527" s="10"/>
      <c r="CZ527" s="10"/>
      <c r="DA527" s="10"/>
      <c r="DB527" s="10"/>
      <c r="DC527" s="10"/>
      <c r="DD527" s="10"/>
      <c r="DE527" s="10"/>
      <c r="DF527" s="10"/>
      <c r="DG527" s="10"/>
      <c r="DH527" s="10"/>
      <c r="DI527" s="10"/>
      <c r="DJ527" s="10"/>
      <c r="DK527" s="10"/>
      <c r="DL527" s="10"/>
      <c r="DM527" s="10"/>
      <c r="DN527" s="10"/>
      <c r="DO527" s="10"/>
      <c r="DP527" s="10"/>
    </row>
    <row r="528" spans="2:120" x14ac:dyDescent="0.25">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10"/>
      <c r="BM528" s="10"/>
      <c r="BN528" s="10"/>
      <c r="BO528" s="10"/>
      <c r="BP528" s="10"/>
      <c r="BQ528" s="10"/>
      <c r="BR528" s="10"/>
      <c r="BS528" s="10"/>
      <c r="BT528" s="10"/>
      <c r="BU528" s="10"/>
      <c r="BV528" s="10"/>
      <c r="BW528" s="10"/>
      <c r="BX528" s="10"/>
      <c r="BY528" s="10"/>
      <c r="BZ528" s="10"/>
      <c r="CA528" s="10"/>
      <c r="CB528" s="10"/>
      <c r="CC528" s="10"/>
      <c r="CD528" s="10"/>
      <c r="CE528" s="10"/>
      <c r="CF528" s="10"/>
      <c r="CG528" s="10"/>
      <c r="CH528" s="10"/>
      <c r="CI528" s="10"/>
      <c r="CJ528" s="10"/>
      <c r="CK528" s="10"/>
      <c r="CL528" s="10"/>
      <c r="CM528" s="10"/>
      <c r="CN528" s="10"/>
      <c r="CO528" s="10"/>
      <c r="CP528" s="10"/>
      <c r="CQ528" s="10"/>
      <c r="CR528" s="10"/>
      <c r="CS528" s="10"/>
      <c r="CT528" s="10"/>
      <c r="CU528" s="10"/>
      <c r="CV528" s="10"/>
      <c r="CW528" s="10"/>
      <c r="CX528" s="10"/>
      <c r="CY528" s="10"/>
      <c r="CZ528" s="10"/>
      <c r="DA528" s="10"/>
      <c r="DB528" s="10"/>
      <c r="DC528" s="10"/>
      <c r="DD528" s="10"/>
      <c r="DE528" s="10"/>
      <c r="DF528" s="10"/>
      <c r="DG528" s="10"/>
      <c r="DH528" s="10"/>
      <c r="DI528" s="10"/>
      <c r="DJ528" s="10"/>
      <c r="DK528" s="10"/>
      <c r="DL528" s="10"/>
      <c r="DM528" s="10"/>
      <c r="DN528" s="10"/>
      <c r="DO528" s="10"/>
      <c r="DP528" s="10"/>
    </row>
    <row r="529" spans="2:120" x14ac:dyDescent="0.25">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c r="BP529" s="10"/>
      <c r="BQ529" s="10"/>
      <c r="BR529" s="10"/>
      <c r="BS529" s="10"/>
      <c r="BT529" s="10"/>
      <c r="BU529" s="10"/>
      <c r="BV529" s="10"/>
      <c r="BW529" s="10"/>
      <c r="BX529" s="10"/>
      <c r="BY529" s="10"/>
      <c r="BZ529" s="10"/>
      <c r="CA529" s="10"/>
      <c r="CB529" s="10"/>
      <c r="CC529" s="10"/>
      <c r="CD529" s="10"/>
      <c r="CE529" s="10"/>
      <c r="CF529" s="10"/>
      <c r="CG529" s="10"/>
      <c r="CH529" s="10"/>
      <c r="CI529" s="10"/>
      <c r="CJ529" s="10"/>
      <c r="CK529" s="10"/>
      <c r="CL529" s="10"/>
      <c r="CM529" s="10"/>
      <c r="CN529" s="10"/>
      <c r="CO529" s="10"/>
      <c r="CP529" s="10"/>
      <c r="CQ529" s="10"/>
      <c r="CR529" s="10"/>
      <c r="CS529" s="10"/>
      <c r="CT529" s="10"/>
      <c r="CU529" s="10"/>
      <c r="CV529" s="10"/>
      <c r="CW529" s="10"/>
      <c r="CX529" s="10"/>
      <c r="CY529" s="10"/>
      <c r="CZ529" s="10"/>
      <c r="DA529" s="10"/>
      <c r="DB529" s="10"/>
      <c r="DC529" s="10"/>
      <c r="DD529" s="10"/>
      <c r="DE529" s="10"/>
      <c r="DF529" s="10"/>
      <c r="DG529" s="10"/>
      <c r="DH529" s="10"/>
      <c r="DI529" s="10"/>
      <c r="DJ529" s="10"/>
      <c r="DK529" s="10"/>
      <c r="DL529" s="10"/>
      <c r="DM529" s="10"/>
      <c r="DN529" s="10"/>
      <c r="DO529" s="10"/>
      <c r="DP529" s="10"/>
    </row>
    <row r="530" spans="2:120" x14ac:dyDescent="0.25">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0"/>
      <c r="BM530" s="10"/>
      <c r="BN530" s="10"/>
      <c r="BO530" s="10"/>
      <c r="BP530" s="10"/>
      <c r="BQ530" s="10"/>
      <c r="BR530" s="10"/>
      <c r="BS530" s="10"/>
      <c r="BT530" s="10"/>
      <c r="BU530" s="10"/>
      <c r="BV530" s="10"/>
      <c r="BW530" s="10"/>
      <c r="BX530" s="10"/>
      <c r="BY530" s="10"/>
      <c r="BZ530" s="10"/>
      <c r="CA530" s="10"/>
      <c r="CB530" s="10"/>
      <c r="CC530" s="10"/>
      <c r="CD530" s="10"/>
      <c r="CE530" s="10"/>
      <c r="CF530" s="10"/>
      <c r="CG530" s="10"/>
      <c r="CH530" s="10"/>
      <c r="CI530" s="10"/>
      <c r="CJ530" s="10"/>
      <c r="CK530" s="10"/>
      <c r="CL530" s="10"/>
      <c r="CM530" s="10"/>
      <c r="CN530" s="10"/>
      <c r="CO530" s="10"/>
      <c r="CP530" s="10"/>
      <c r="CQ530" s="10"/>
      <c r="CR530" s="10"/>
      <c r="CS530" s="10"/>
      <c r="CT530" s="10"/>
      <c r="CU530" s="10"/>
      <c r="CV530" s="10"/>
      <c r="CW530" s="10"/>
      <c r="CX530" s="10"/>
      <c r="CY530" s="10"/>
      <c r="CZ530" s="10"/>
      <c r="DA530" s="10"/>
      <c r="DB530" s="10"/>
      <c r="DC530" s="10"/>
      <c r="DD530" s="10"/>
      <c r="DE530" s="10"/>
      <c r="DF530" s="10"/>
      <c r="DG530" s="10"/>
      <c r="DH530" s="10"/>
      <c r="DI530" s="10"/>
      <c r="DJ530" s="10"/>
      <c r="DK530" s="10"/>
      <c r="DL530" s="10"/>
      <c r="DM530" s="10"/>
      <c r="DN530" s="10"/>
      <c r="DO530" s="10"/>
      <c r="DP530" s="10"/>
    </row>
    <row r="531" spans="2:120" x14ac:dyDescent="0.25">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0"/>
      <c r="BM531" s="10"/>
      <c r="BN531" s="10"/>
      <c r="BO531" s="10"/>
      <c r="BP531" s="10"/>
      <c r="BQ531" s="10"/>
      <c r="BR531" s="10"/>
      <c r="BS531" s="10"/>
      <c r="BT531" s="10"/>
      <c r="BU531" s="10"/>
      <c r="BV531" s="10"/>
      <c r="BW531" s="10"/>
      <c r="BX531" s="10"/>
      <c r="BY531" s="10"/>
      <c r="BZ531" s="10"/>
      <c r="CA531" s="10"/>
      <c r="CB531" s="10"/>
      <c r="CC531" s="10"/>
      <c r="CD531" s="10"/>
      <c r="CE531" s="10"/>
      <c r="CF531" s="10"/>
      <c r="CG531" s="10"/>
      <c r="CH531" s="10"/>
      <c r="CI531" s="10"/>
      <c r="CJ531" s="10"/>
      <c r="CK531" s="10"/>
      <c r="CL531" s="10"/>
      <c r="CM531" s="10"/>
      <c r="CN531" s="10"/>
      <c r="CO531" s="10"/>
      <c r="CP531" s="10"/>
      <c r="CQ531" s="10"/>
      <c r="CR531" s="10"/>
      <c r="CS531" s="10"/>
      <c r="CT531" s="10"/>
      <c r="CU531" s="10"/>
      <c r="CV531" s="10"/>
      <c r="CW531" s="10"/>
      <c r="CX531" s="10"/>
      <c r="CY531" s="10"/>
      <c r="CZ531" s="10"/>
      <c r="DA531" s="10"/>
      <c r="DB531" s="10"/>
      <c r="DC531" s="10"/>
      <c r="DD531" s="10"/>
      <c r="DE531" s="10"/>
      <c r="DF531" s="10"/>
      <c r="DG531" s="10"/>
      <c r="DH531" s="10"/>
      <c r="DI531" s="10"/>
      <c r="DJ531" s="10"/>
      <c r="DK531" s="10"/>
      <c r="DL531" s="10"/>
      <c r="DM531" s="10"/>
      <c r="DN531" s="10"/>
      <c r="DO531" s="10"/>
      <c r="DP531" s="10"/>
    </row>
    <row r="532" spans="2:120" x14ac:dyDescent="0.25">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10"/>
      <c r="BM532" s="10"/>
      <c r="BN532" s="10"/>
      <c r="BO532" s="10"/>
      <c r="BP532" s="10"/>
      <c r="BQ532" s="10"/>
      <c r="BR532" s="10"/>
      <c r="BS532" s="10"/>
      <c r="BT532" s="10"/>
      <c r="BU532" s="10"/>
      <c r="BV532" s="10"/>
      <c r="BW532" s="10"/>
      <c r="BX532" s="10"/>
      <c r="BY532" s="10"/>
      <c r="BZ532" s="10"/>
      <c r="CA532" s="10"/>
      <c r="CB532" s="10"/>
      <c r="CC532" s="10"/>
      <c r="CD532" s="10"/>
      <c r="CE532" s="10"/>
      <c r="CF532" s="10"/>
      <c r="CG532" s="10"/>
      <c r="CH532" s="10"/>
      <c r="CI532" s="10"/>
      <c r="CJ532" s="10"/>
      <c r="CK532" s="10"/>
      <c r="CL532" s="10"/>
      <c r="CM532" s="10"/>
      <c r="CN532" s="10"/>
      <c r="CO532" s="10"/>
      <c r="CP532" s="10"/>
      <c r="CQ532" s="10"/>
      <c r="CR532" s="10"/>
      <c r="CS532" s="10"/>
      <c r="CT532" s="10"/>
      <c r="CU532" s="10"/>
      <c r="CV532" s="10"/>
      <c r="CW532" s="10"/>
      <c r="CX532" s="10"/>
      <c r="CY532" s="10"/>
      <c r="CZ532" s="10"/>
      <c r="DA532" s="10"/>
      <c r="DB532" s="10"/>
      <c r="DC532" s="10"/>
      <c r="DD532" s="10"/>
      <c r="DE532" s="10"/>
      <c r="DF532" s="10"/>
      <c r="DG532" s="10"/>
      <c r="DH532" s="10"/>
      <c r="DI532" s="10"/>
      <c r="DJ532" s="10"/>
      <c r="DK532" s="10"/>
      <c r="DL532" s="10"/>
      <c r="DM532" s="10"/>
      <c r="DN532" s="10"/>
      <c r="DO532" s="10"/>
      <c r="DP532" s="10"/>
    </row>
    <row r="533" spans="2:120" x14ac:dyDescent="0.25">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0"/>
      <c r="BM533" s="10"/>
      <c r="BN533" s="10"/>
      <c r="BO533" s="10"/>
      <c r="BP533" s="10"/>
      <c r="BQ533" s="10"/>
      <c r="BR533" s="10"/>
      <c r="BS533" s="10"/>
      <c r="BT533" s="10"/>
      <c r="BU533" s="10"/>
      <c r="BV533" s="10"/>
      <c r="BW533" s="10"/>
      <c r="BX533" s="10"/>
      <c r="BY533" s="10"/>
      <c r="BZ533" s="10"/>
      <c r="CA533" s="10"/>
      <c r="CB533" s="10"/>
      <c r="CC533" s="10"/>
      <c r="CD533" s="10"/>
      <c r="CE533" s="10"/>
      <c r="CF533" s="10"/>
      <c r="CG533" s="10"/>
      <c r="CH533" s="10"/>
      <c r="CI533" s="10"/>
      <c r="CJ533" s="10"/>
      <c r="CK533" s="10"/>
      <c r="CL533" s="10"/>
      <c r="CM533" s="10"/>
      <c r="CN533" s="10"/>
      <c r="CO533" s="10"/>
      <c r="CP533" s="10"/>
      <c r="CQ533" s="10"/>
      <c r="CR533" s="10"/>
      <c r="CS533" s="10"/>
      <c r="CT533" s="10"/>
      <c r="CU533" s="10"/>
      <c r="CV533" s="10"/>
      <c r="CW533" s="10"/>
      <c r="CX533" s="10"/>
      <c r="CY533" s="10"/>
      <c r="CZ533" s="10"/>
      <c r="DA533" s="10"/>
      <c r="DB533" s="10"/>
      <c r="DC533" s="10"/>
      <c r="DD533" s="10"/>
      <c r="DE533" s="10"/>
      <c r="DF533" s="10"/>
      <c r="DG533" s="10"/>
      <c r="DH533" s="10"/>
      <c r="DI533" s="10"/>
      <c r="DJ533" s="10"/>
      <c r="DK533" s="10"/>
      <c r="DL533" s="10"/>
      <c r="DM533" s="10"/>
      <c r="DN533" s="10"/>
      <c r="DO533" s="10"/>
      <c r="DP533" s="10"/>
    </row>
    <row r="534" spans="2:120" x14ac:dyDescent="0.25">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0"/>
      <c r="BM534" s="10"/>
      <c r="BN534" s="10"/>
      <c r="BO534" s="10"/>
      <c r="BP534" s="10"/>
      <c r="BQ534" s="10"/>
      <c r="BR534" s="10"/>
      <c r="BS534" s="10"/>
      <c r="BT534" s="10"/>
      <c r="BU534" s="10"/>
      <c r="BV534" s="10"/>
      <c r="BW534" s="10"/>
      <c r="BX534" s="10"/>
      <c r="BY534" s="10"/>
      <c r="BZ534" s="10"/>
      <c r="CA534" s="10"/>
      <c r="CB534" s="10"/>
      <c r="CC534" s="10"/>
      <c r="CD534" s="10"/>
      <c r="CE534" s="10"/>
      <c r="CF534" s="10"/>
      <c r="CG534" s="10"/>
      <c r="CH534" s="10"/>
      <c r="CI534" s="10"/>
      <c r="CJ534" s="10"/>
      <c r="CK534" s="10"/>
      <c r="CL534" s="10"/>
      <c r="CM534" s="10"/>
      <c r="CN534" s="10"/>
      <c r="CO534" s="10"/>
      <c r="CP534" s="10"/>
      <c r="CQ534" s="10"/>
      <c r="CR534" s="10"/>
      <c r="CS534" s="10"/>
      <c r="CT534" s="10"/>
      <c r="CU534" s="10"/>
      <c r="CV534" s="10"/>
      <c r="CW534" s="10"/>
      <c r="CX534" s="10"/>
      <c r="CY534" s="10"/>
      <c r="CZ534" s="10"/>
      <c r="DA534" s="10"/>
      <c r="DB534" s="10"/>
      <c r="DC534" s="10"/>
      <c r="DD534" s="10"/>
      <c r="DE534" s="10"/>
      <c r="DF534" s="10"/>
      <c r="DG534" s="10"/>
      <c r="DH534" s="10"/>
      <c r="DI534" s="10"/>
      <c r="DJ534" s="10"/>
      <c r="DK534" s="10"/>
      <c r="DL534" s="10"/>
      <c r="DM534" s="10"/>
      <c r="DN534" s="10"/>
      <c r="DO534" s="10"/>
      <c r="DP534" s="10"/>
    </row>
    <row r="535" spans="2:120" x14ac:dyDescent="0.25">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10"/>
      <c r="BM535" s="10"/>
      <c r="BN535" s="10"/>
      <c r="BO535" s="10"/>
      <c r="BP535" s="10"/>
      <c r="BQ535" s="10"/>
      <c r="BR535" s="10"/>
      <c r="BS535" s="10"/>
      <c r="BT535" s="10"/>
      <c r="BU535" s="10"/>
      <c r="BV535" s="10"/>
      <c r="BW535" s="10"/>
      <c r="BX535" s="10"/>
      <c r="BY535" s="10"/>
      <c r="BZ535" s="10"/>
      <c r="CA535" s="10"/>
      <c r="CB535" s="10"/>
      <c r="CC535" s="10"/>
      <c r="CD535" s="10"/>
      <c r="CE535" s="10"/>
      <c r="CF535" s="10"/>
      <c r="CG535" s="10"/>
      <c r="CH535" s="10"/>
      <c r="CI535" s="10"/>
      <c r="CJ535" s="10"/>
      <c r="CK535" s="10"/>
      <c r="CL535" s="10"/>
      <c r="CM535" s="10"/>
      <c r="CN535" s="10"/>
      <c r="CO535" s="10"/>
      <c r="CP535" s="10"/>
      <c r="CQ535" s="10"/>
      <c r="CR535" s="10"/>
      <c r="CS535" s="10"/>
      <c r="CT535" s="10"/>
      <c r="CU535" s="10"/>
      <c r="CV535" s="10"/>
      <c r="CW535" s="10"/>
      <c r="CX535" s="10"/>
      <c r="CY535" s="10"/>
      <c r="CZ535" s="10"/>
      <c r="DA535" s="10"/>
      <c r="DB535" s="10"/>
      <c r="DC535" s="10"/>
      <c r="DD535" s="10"/>
      <c r="DE535" s="10"/>
      <c r="DF535" s="10"/>
      <c r="DG535" s="10"/>
      <c r="DH535" s="10"/>
      <c r="DI535" s="10"/>
      <c r="DJ535" s="10"/>
      <c r="DK535" s="10"/>
      <c r="DL535" s="10"/>
      <c r="DM535" s="10"/>
      <c r="DN535" s="10"/>
      <c r="DO535" s="10"/>
      <c r="DP535" s="10"/>
    </row>
    <row r="536" spans="2:120" x14ac:dyDescent="0.25">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0"/>
      <c r="BM536" s="10"/>
      <c r="BN536" s="10"/>
      <c r="BO536" s="10"/>
      <c r="BP536" s="10"/>
      <c r="BQ536" s="10"/>
      <c r="BR536" s="10"/>
      <c r="BS536" s="10"/>
      <c r="BT536" s="10"/>
      <c r="BU536" s="10"/>
      <c r="BV536" s="10"/>
      <c r="BW536" s="10"/>
      <c r="BX536" s="10"/>
      <c r="BY536" s="10"/>
      <c r="BZ536" s="10"/>
      <c r="CA536" s="10"/>
      <c r="CB536" s="10"/>
      <c r="CC536" s="10"/>
      <c r="CD536" s="10"/>
      <c r="CE536" s="10"/>
      <c r="CF536" s="10"/>
      <c r="CG536" s="10"/>
      <c r="CH536" s="10"/>
      <c r="CI536" s="10"/>
      <c r="CJ536" s="10"/>
      <c r="CK536" s="10"/>
      <c r="CL536" s="10"/>
      <c r="CM536" s="10"/>
      <c r="CN536" s="10"/>
      <c r="CO536" s="10"/>
      <c r="CP536" s="10"/>
      <c r="CQ536" s="10"/>
      <c r="CR536" s="10"/>
      <c r="CS536" s="10"/>
      <c r="CT536" s="10"/>
      <c r="CU536" s="10"/>
      <c r="CV536" s="10"/>
      <c r="CW536" s="10"/>
      <c r="CX536" s="10"/>
      <c r="CY536" s="10"/>
      <c r="CZ536" s="10"/>
      <c r="DA536" s="10"/>
      <c r="DB536" s="10"/>
      <c r="DC536" s="10"/>
      <c r="DD536" s="10"/>
      <c r="DE536" s="10"/>
      <c r="DF536" s="10"/>
      <c r="DG536" s="10"/>
      <c r="DH536" s="10"/>
      <c r="DI536" s="10"/>
      <c r="DJ536" s="10"/>
      <c r="DK536" s="10"/>
      <c r="DL536" s="10"/>
      <c r="DM536" s="10"/>
      <c r="DN536" s="10"/>
      <c r="DO536" s="10"/>
      <c r="DP536" s="10"/>
    </row>
    <row r="537" spans="2:120" x14ac:dyDescent="0.25">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10"/>
      <c r="BM537" s="10"/>
      <c r="BN537" s="10"/>
      <c r="BO537" s="10"/>
      <c r="BP537" s="10"/>
      <c r="BQ537" s="10"/>
      <c r="BR537" s="10"/>
      <c r="BS537" s="10"/>
      <c r="BT537" s="10"/>
      <c r="BU537" s="10"/>
      <c r="BV537" s="10"/>
      <c r="BW537" s="10"/>
      <c r="BX537" s="10"/>
      <c r="BY537" s="10"/>
      <c r="BZ537" s="10"/>
      <c r="CA537" s="10"/>
      <c r="CB537" s="10"/>
      <c r="CC537" s="10"/>
      <c r="CD537" s="10"/>
      <c r="CE537" s="10"/>
      <c r="CF537" s="10"/>
      <c r="CG537" s="10"/>
      <c r="CH537" s="10"/>
      <c r="CI537" s="10"/>
      <c r="CJ537" s="10"/>
      <c r="CK537" s="10"/>
      <c r="CL537" s="10"/>
      <c r="CM537" s="10"/>
      <c r="CN537" s="10"/>
      <c r="CO537" s="10"/>
      <c r="CP537" s="10"/>
      <c r="CQ537" s="10"/>
      <c r="CR537" s="10"/>
      <c r="CS537" s="10"/>
      <c r="CT537" s="10"/>
      <c r="CU537" s="10"/>
      <c r="CV537" s="10"/>
      <c r="CW537" s="10"/>
      <c r="CX537" s="10"/>
      <c r="CY537" s="10"/>
      <c r="CZ537" s="10"/>
      <c r="DA537" s="10"/>
      <c r="DB537" s="10"/>
      <c r="DC537" s="10"/>
      <c r="DD537" s="10"/>
      <c r="DE537" s="10"/>
      <c r="DF537" s="10"/>
      <c r="DG537" s="10"/>
      <c r="DH537" s="10"/>
      <c r="DI537" s="10"/>
      <c r="DJ537" s="10"/>
      <c r="DK537" s="10"/>
      <c r="DL537" s="10"/>
      <c r="DM537" s="10"/>
      <c r="DN537" s="10"/>
      <c r="DO537" s="10"/>
      <c r="DP537" s="10"/>
    </row>
    <row r="538" spans="2:120" x14ac:dyDescent="0.25">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10"/>
      <c r="BM538" s="10"/>
      <c r="BN538" s="10"/>
      <c r="BO538" s="10"/>
      <c r="BP538" s="10"/>
      <c r="BQ538" s="10"/>
      <c r="BR538" s="10"/>
      <c r="BS538" s="10"/>
      <c r="BT538" s="10"/>
      <c r="BU538" s="10"/>
      <c r="BV538" s="10"/>
      <c r="BW538" s="10"/>
      <c r="BX538" s="10"/>
      <c r="BY538" s="10"/>
      <c r="BZ538" s="10"/>
      <c r="CA538" s="10"/>
      <c r="CB538" s="10"/>
      <c r="CC538" s="10"/>
      <c r="CD538" s="10"/>
      <c r="CE538" s="10"/>
      <c r="CF538" s="10"/>
      <c r="CG538" s="10"/>
      <c r="CH538" s="10"/>
      <c r="CI538" s="10"/>
      <c r="CJ538" s="10"/>
      <c r="CK538" s="10"/>
      <c r="CL538" s="10"/>
      <c r="CM538" s="10"/>
      <c r="CN538" s="10"/>
      <c r="CO538" s="10"/>
      <c r="CP538" s="10"/>
      <c r="CQ538" s="10"/>
      <c r="CR538" s="10"/>
      <c r="CS538" s="10"/>
      <c r="CT538" s="10"/>
      <c r="CU538" s="10"/>
      <c r="CV538" s="10"/>
      <c r="CW538" s="10"/>
      <c r="CX538" s="10"/>
      <c r="CY538" s="10"/>
      <c r="CZ538" s="10"/>
      <c r="DA538" s="10"/>
      <c r="DB538" s="10"/>
      <c r="DC538" s="10"/>
      <c r="DD538" s="10"/>
      <c r="DE538" s="10"/>
      <c r="DF538" s="10"/>
      <c r="DG538" s="10"/>
      <c r="DH538" s="10"/>
      <c r="DI538" s="10"/>
      <c r="DJ538" s="10"/>
      <c r="DK538" s="10"/>
      <c r="DL538" s="10"/>
      <c r="DM538" s="10"/>
      <c r="DN538" s="10"/>
      <c r="DO538" s="10"/>
      <c r="DP538" s="10"/>
    </row>
    <row r="539" spans="2:120" x14ac:dyDescent="0.25">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10"/>
      <c r="BM539" s="10"/>
      <c r="BN539" s="10"/>
      <c r="BO539" s="10"/>
      <c r="BP539" s="10"/>
      <c r="BQ539" s="10"/>
      <c r="BR539" s="10"/>
      <c r="BS539" s="10"/>
      <c r="BT539" s="10"/>
      <c r="BU539" s="10"/>
      <c r="BV539" s="10"/>
      <c r="BW539" s="10"/>
      <c r="BX539" s="10"/>
      <c r="BY539" s="10"/>
      <c r="BZ539" s="10"/>
      <c r="CA539" s="10"/>
      <c r="CB539" s="10"/>
      <c r="CC539" s="10"/>
      <c r="CD539" s="10"/>
      <c r="CE539" s="10"/>
      <c r="CF539" s="10"/>
      <c r="CG539" s="10"/>
      <c r="CH539" s="10"/>
      <c r="CI539" s="10"/>
      <c r="CJ539" s="10"/>
      <c r="CK539" s="10"/>
      <c r="CL539" s="10"/>
      <c r="CM539" s="10"/>
      <c r="CN539" s="10"/>
      <c r="CO539" s="10"/>
      <c r="CP539" s="10"/>
      <c r="CQ539" s="10"/>
      <c r="CR539" s="10"/>
      <c r="CS539" s="10"/>
      <c r="CT539" s="10"/>
      <c r="CU539" s="10"/>
      <c r="CV539" s="10"/>
      <c r="CW539" s="10"/>
      <c r="CX539" s="10"/>
      <c r="CY539" s="10"/>
      <c r="CZ539" s="10"/>
      <c r="DA539" s="10"/>
      <c r="DB539" s="10"/>
      <c r="DC539" s="10"/>
      <c r="DD539" s="10"/>
      <c r="DE539" s="10"/>
      <c r="DF539" s="10"/>
      <c r="DG539" s="10"/>
      <c r="DH539" s="10"/>
      <c r="DI539" s="10"/>
      <c r="DJ539" s="10"/>
      <c r="DK539" s="10"/>
      <c r="DL539" s="10"/>
      <c r="DM539" s="10"/>
      <c r="DN539" s="10"/>
      <c r="DO539" s="10"/>
      <c r="DP539" s="10"/>
    </row>
    <row r="540" spans="2:120" x14ac:dyDescent="0.25">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0"/>
      <c r="BM540" s="10"/>
      <c r="BN540" s="10"/>
      <c r="BO540" s="10"/>
      <c r="BP540" s="10"/>
      <c r="BQ540" s="10"/>
      <c r="BR540" s="10"/>
      <c r="BS540" s="10"/>
      <c r="BT540" s="10"/>
      <c r="BU540" s="10"/>
      <c r="BV540" s="10"/>
      <c r="BW540" s="10"/>
      <c r="BX540" s="10"/>
      <c r="BY540" s="10"/>
      <c r="BZ540" s="10"/>
      <c r="CA540" s="10"/>
      <c r="CB540" s="10"/>
      <c r="CC540" s="10"/>
      <c r="CD540" s="10"/>
      <c r="CE540" s="10"/>
      <c r="CF540" s="10"/>
      <c r="CG540" s="10"/>
      <c r="CH540" s="10"/>
      <c r="CI540" s="10"/>
      <c r="CJ540" s="10"/>
      <c r="CK540" s="10"/>
      <c r="CL540" s="10"/>
      <c r="CM540" s="10"/>
      <c r="CN540" s="10"/>
      <c r="CO540" s="10"/>
      <c r="CP540" s="10"/>
      <c r="CQ540" s="10"/>
      <c r="CR540" s="10"/>
      <c r="CS540" s="10"/>
      <c r="CT540" s="10"/>
      <c r="CU540" s="10"/>
      <c r="CV540" s="10"/>
      <c r="CW540" s="10"/>
      <c r="CX540" s="10"/>
      <c r="CY540" s="10"/>
      <c r="CZ540" s="10"/>
      <c r="DA540" s="10"/>
      <c r="DB540" s="10"/>
      <c r="DC540" s="10"/>
      <c r="DD540" s="10"/>
      <c r="DE540" s="10"/>
      <c r="DF540" s="10"/>
      <c r="DG540" s="10"/>
      <c r="DH540" s="10"/>
      <c r="DI540" s="10"/>
      <c r="DJ540" s="10"/>
      <c r="DK540" s="10"/>
      <c r="DL540" s="10"/>
      <c r="DM540" s="10"/>
      <c r="DN540" s="10"/>
      <c r="DO540" s="10"/>
      <c r="DP540" s="10"/>
    </row>
    <row r="541" spans="2:120" x14ac:dyDescent="0.25">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0"/>
      <c r="BM541" s="10"/>
      <c r="BN541" s="10"/>
      <c r="BO541" s="10"/>
      <c r="BP541" s="10"/>
      <c r="BQ541" s="10"/>
      <c r="BR541" s="10"/>
      <c r="BS541" s="10"/>
      <c r="BT541" s="10"/>
      <c r="BU541" s="10"/>
      <c r="BV541" s="10"/>
      <c r="BW541" s="10"/>
      <c r="BX541" s="10"/>
      <c r="BY541" s="10"/>
      <c r="BZ541" s="10"/>
      <c r="CA541" s="10"/>
      <c r="CB541" s="10"/>
      <c r="CC541" s="10"/>
      <c r="CD541" s="10"/>
      <c r="CE541" s="10"/>
      <c r="CF541" s="10"/>
      <c r="CG541" s="10"/>
      <c r="CH541" s="10"/>
      <c r="CI541" s="10"/>
      <c r="CJ541" s="10"/>
      <c r="CK541" s="10"/>
      <c r="CL541" s="10"/>
      <c r="CM541" s="10"/>
      <c r="CN541" s="10"/>
      <c r="CO541" s="10"/>
      <c r="CP541" s="10"/>
      <c r="CQ541" s="10"/>
      <c r="CR541" s="10"/>
      <c r="CS541" s="10"/>
      <c r="CT541" s="10"/>
      <c r="CU541" s="10"/>
      <c r="CV541" s="10"/>
      <c r="CW541" s="10"/>
      <c r="CX541" s="10"/>
      <c r="CY541" s="10"/>
      <c r="CZ541" s="10"/>
      <c r="DA541" s="10"/>
      <c r="DB541" s="10"/>
      <c r="DC541" s="10"/>
      <c r="DD541" s="10"/>
      <c r="DE541" s="10"/>
      <c r="DF541" s="10"/>
      <c r="DG541" s="10"/>
      <c r="DH541" s="10"/>
      <c r="DI541" s="10"/>
      <c r="DJ541" s="10"/>
      <c r="DK541" s="10"/>
      <c r="DL541" s="10"/>
      <c r="DM541" s="10"/>
      <c r="DN541" s="10"/>
      <c r="DO541" s="10"/>
      <c r="DP541" s="10"/>
    </row>
    <row r="542" spans="2:120" x14ac:dyDescent="0.25">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0"/>
      <c r="BM542" s="10"/>
      <c r="BN542" s="10"/>
      <c r="BO542" s="10"/>
      <c r="BP542" s="10"/>
      <c r="BQ542" s="10"/>
      <c r="BR542" s="10"/>
      <c r="BS542" s="10"/>
      <c r="BT542" s="10"/>
      <c r="BU542" s="10"/>
      <c r="BV542" s="10"/>
      <c r="BW542" s="10"/>
      <c r="BX542" s="10"/>
      <c r="BY542" s="10"/>
      <c r="BZ542" s="10"/>
      <c r="CA542" s="10"/>
      <c r="CB542" s="10"/>
      <c r="CC542" s="10"/>
      <c r="CD542" s="10"/>
      <c r="CE542" s="10"/>
      <c r="CF542" s="10"/>
      <c r="CG542" s="10"/>
      <c r="CH542" s="10"/>
      <c r="CI542" s="10"/>
      <c r="CJ542" s="10"/>
      <c r="CK542" s="10"/>
      <c r="CL542" s="10"/>
      <c r="CM542" s="10"/>
      <c r="CN542" s="10"/>
      <c r="CO542" s="10"/>
      <c r="CP542" s="10"/>
      <c r="CQ542" s="10"/>
      <c r="CR542" s="10"/>
      <c r="CS542" s="10"/>
      <c r="CT542" s="10"/>
      <c r="CU542" s="10"/>
      <c r="CV542" s="10"/>
      <c r="CW542" s="10"/>
      <c r="CX542" s="10"/>
      <c r="CY542" s="10"/>
      <c r="CZ542" s="10"/>
      <c r="DA542" s="10"/>
      <c r="DB542" s="10"/>
      <c r="DC542" s="10"/>
      <c r="DD542" s="10"/>
      <c r="DE542" s="10"/>
      <c r="DF542" s="10"/>
      <c r="DG542" s="10"/>
      <c r="DH542" s="10"/>
      <c r="DI542" s="10"/>
      <c r="DJ542" s="10"/>
      <c r="DK542" s="10"/>
      <c r="DL542" s="10"/>
      <c r="DM542" s="10"/>
      <c r="DN542" s="10"/>
      <c r="DO542" s="10"/>
      <c r="DP542" s="10"/>
    </row>
    <row r="543" spans="2:120" x14ac:dyDescent="0.25">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0"/>
      <c r="BM543" s="10"/>
      <c r="BN543" s="10"/>
      <c r="BO543" s="10"/>
      <c r="BP543" s="10"/>
      <c r="BQ543" s="10"/>
      <c r="BR543" s="10"/>
      <c r="BS543" s="10"/>
      <c r="BT543" s="10"/>
      <c r="BU543" s="10"/>
      <c r="BV543" s="10"/>
      <c r="BW543" s="10"/>
      <c r="BX543" s="10"/>
      <c r="BY543" s="10"/>
      <c r="BZ543" s="10"/>
      <c r="CA543" s="10"/>
      <c r="CB543" s="10"/>
      <c r="CC543" s="10"/>
      <c r="CD543" s="10"/>
      <c r="CE543" s="10"/>
      <c r="CF543" s="10"/>
      <c r="CG543" s="10"/>
      <c r="CH543" s="10"/>
      <c r="CI543" s="10"/>
      <c r="CJ543" s="10"/>
      <c r="CK543" s="10"/>
      <c r="CL543" s="10"/>
      <c r="CM543" s="10"/>
      <c r="CN543" s="10"/>
      <c r="CO543" s="10"/>
      <c r="CP543" s="10"/>
      <c r="CQ543" s="10"/>
      <c r="CR543" s="10"/>
      <c r="CS543" s="10"/>
      <c r="CT543" s="10"/>
      <c r="CU543" s="10"/>
      <c r="CV543" s="10"/>
      <c r="CW543" s="10"/>
      <c r="CX543" s="10"/>
      <c r="CY543" s="10"/>
      <c r="CZ543" s="10"/>
      <c r="DA543" s="10"/>
      <c r="DB543" s="10"/>
      <c r="DC543" s="10"/>
      <c r="DD543" s="10"/>
      <c r="DE543" s="10"/>
      <c r="DF543" s="10"/>
      <c r="DG543" s="10"/>
      <c r="DH543" s="10"/>
      <c r="DI543" s="10"/>
      <c r="DJ543" s="10"/>
      <c r="DK543" s="10"/>
      <c r="DL543" s="10"/>
      <c r="DM543" s="10"/>
      <c r="DN543" s="10"/>
      <c r="DO543" s="10"/>
      <c r="DP543" s="10"/>
    </row>
    <row r="544" spans="2:120" x14ac:dyDescent="0.25">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10"/>
      <c r="BM544" s="10"/>
      <c r="BN544" s="10"/>
      <c r="BO544" s="10"/>
      <c r="BP544" s="10"/>
      <c r="BQ544" s="10"/>
      <c r="BR544" s="10"/>
      <c r="BS544" s="10"/>
      <c r="BT544" s="10"/>
      <c r="BU544" s="10"/>
      <c r="BV544" s="10"/>
      <c r="BW544" s="10"/>
      <c r="BX544" s="10"/>
      <c r="BY544" s="10"/>
      <c r="BZ544" s="10"/>
      <c r="CA544" s="10"/>
      <c r="CB544" s="10"/>
      <c r="CC544" s="10"/>
      <c r="CD544" s="10"/>
      <c r="CE544" s="10"/>
      <c r="CF544" s="10"/>
      <c r="CG544" s="10"/>
      <c r="CH544" s="10"/>
      <c r="CI544" s="10"/>
      <c r="CJ544" s="10"/>
      <c r="CK544" s="10"/>
      <c r="CL544" s="10"/>
      <c r="CM544" s="10"/>
      <c r="CN544" s="10"/>
      <c r="CO544" s="10"/>
      <c r="CP544" s="10"/>
      <c r="CQ544" s="10"/>
      <c r="CR544" s="10"/>
      <c r="CS544" s="10"/>
      <c r="CT544" s="10"/>
      <c r="CU544" s="10"/>
      <c r="CV544" s="10"/>
      <c r="CW544" s="10"/>
      <c r="CX544" s="10"/>
      <c r="CY544" s="10"/>
      <c r="CZ544" s="10"/>
      <c r="DA544" s="10"/>
      <c r="DB544" s="10"/>
      <c r="DC544" s="10"/>
      <c r="DD544" s="10"/>
      <c r="DE544" s="10"/>
      <c r="DF544" s="10"/>
      <c r="DG544" s="10"/>
      <c r="DH544" s="10"/>
      <c r="DI544" s="10"/>
      <c r="DJ544" s="10"/>
      <c r="DK544" s="10"/>
      <c r="DL544" s="10"/>
      <c r="DM544" s="10"/>
      <c r="DN544" s="10"/>
      <c r="DO544" s="10"/>
      <c r="DP544" s="10"/>
    </row>
    <row r="545" spans="2:120" x14ac:dyDescent="0.25">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10"/>
      <c r="BM545" s="10"/>
      <c r="BN545" s="10"/>
      <c r="BO545" s="10"/>
      <c r="BP545" s="10"/>
      <c r="BQ545" s="10"/>
      <c r="BR545" s="10"/>
      <c r="BS545" s="10"/>
      <c r="BT545" s="10"/>
      <c r="BU545" s="10"/>
      <c r="BV545" s="10"/>
      <c r="BW545" s="10"/>
      <c r="BX545" s="10"/>
      <c r="BY545" s="10"/>
      <c r="BZ545" s="10"/>
      <c r="CA545" s="10"/>
      <c r="CB545" s="10"/>
      <c r="CC545" s="10"/>
      <c r="CD545" s="10"/>
      <c r="CE545" s="10"/>
      <c r="CF545" s="10"/>
      <c r="CG545" s="10"/>
      <c r="CH545" s="10"/>
      <c r="CI545" s="10"/>
      <c r="CJ545" s="10"/>
      <c r="CK545" s="10"/>
      <c r="CL545" s="10"/>
      <c r="CM545" s="10"/>
      <c r="CN545" s="10"/>
      <c r="CO545" s="10"/>
      <c r="CP545" s="10"/>
      <c r="CQ545" s="10"/>
      <c r="CR545" s="10"/>
      <c r="CS545" s="10"/>
      <c r="CT545" s="10"/>
      <c r="CU545" s="10"/>
      <c r="CV545" s="10"/>
      <c r="CW545" s="10"/>
      <c r="CX545" s="10"/>
      <c r="CY545" s="10"/>
      <c r="CZ545" s="10"/>
      <c r="DA545" s="10"/>
      <c r="DB545" s="10"/>
      <c r="DC545" s="10"/>
      <c r="DD545" s="10"/>
      <c r="DE545" s="10"/>
      <c r="DF545" s="10"/>
      <c r="DG545" s="10"/>
      <c r="DH545" s="10"/>
      <c r="DI545" s="10"/>
      <c r="DJ545" s="10"/>
      <c r="DK545" s="10"/>
      <c r="DL545" s="10"/>
      <c r="DM545" s="10"/>
      <c r="DN545" s="10"/>
      <c r="DO545" s="10"/>
      <c r="DP545" s="10"/>
    </row>
    <row r="546" spans="2:120" x14ac:dyDescent="0.25">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10"/>
      <c r="BM546" s="10"/>
      <c r="BN546" s="10"/>
      <c r="BO546" s="10"/>
      <c r="BP546" s="10"/>
      <c r="BQ546" s="10"/>
      <c r="BR546" s="10"/>
      <c r="BS546" s="10"/>
      <c r="BT546" s="10"/>
      <c r="BU546" s="10"/>
      <c r="BV546" s="10"/>
      <c r="BW546" s="10"/>
      <c r="BX546" s="10"/>
      <c r="BY546" s="10"/>
      <c r="BZ546" s="10"/>
      <c r="CA546" s="10"/>
      <c r="CB546" s="10"/>
      <c r="CC546" s="10"/>
      <c r="CD546" s="10"/>
      <c r="CE546" s="10"/>
      <c r="CF546" s="10"/>
      <c r="CG546" s="10"/>
      <c r="CH546" s="10"/>
      <c r="CI546" s="10"/>
      <c r="CJ546" s="10"/>
      <c r="CK546" s="10"/>
      <c r="CL546" s="10"/>
      <c r="CM546" s="10"/>
      <c r="CN546" s="10"/>
      <c r="CO546" s="10"/>
      <c r="CP546" s="10"/>
      <c r="CQ546" s="10"/>
      <c r="CR546" s="10"/>
      <c r="CS546" s="10"/>
      <c r="CT546" s="10"/>
      <c r="CU546" s="10"/>
      <c r="CV546" s="10"/>
      <c r="CW546" s="10"/>
      <c r="CX546" s="10"/>
      <c r="CY546" s="10"/>
      <c r="CZ546" s="10"/>
      <c r="DA546" s="10"/>
      <c r="DB546" s="10"/>
      <c r="DC546" s="10"/>
      <c r="DD546" s="10"/>
      <c r="DE546" s="10"/>
      <c r="DF546" s="10"/>
      <c r="DG546" s="10"/>
      <c r="DH546" s="10"/>
      <c r="DI546" s="10"/>
      <c r="DJ546" s="10"/>
      <c r="DK546" s="10"/>
      <c r="DL546" s="10"/>
      <c r="DM546" s="10"/>
      <c r="DN546" s="10"/>
      <c r="DO546" s="10"/>
      <c r="DP546" s="10"/>
    </row>
    <row r="547" spans="2:120" x14ac:dyDescent="0.25">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0"/>
      <c r="BM547" s="10"/>
      <c r="BN547" s="10"/>
      <c r="BO547" s="10"/>
      <c r="BP547" s="10"/>
      <c r="BQ547" s="10"/>
      <c r="BR547" s="10"/>
      <c r="BS547" s="10"/>
      <c r="BT547" s="10"/>
      <c r="BU547" s="10"/>
      <c r="BV547" s="10"/>
      <c r="BW547" s="10"/>
      <c r="BX547" s="10"/>
      <c r="BY547" s="10"/>
      <c r="BZ547" s="10"/>
      <c r="CA547" s="10"/>
      <c r="CB547" s="10"/>
      <c r="CC547" s="10"/>
      <c r="CD547" s="10"/>
      <c r="CE547" s="10"/>
      <c r="CF547" s="10"/>
      <c r="CG547" s="10"/>
      <c r="CH547" s="10"/>
      <c r="CI547" s="10"/>
      <c r="CJ547" s="10"/>
      <c r="CK547" s="10"/>
      <c r="CL547" s="10"/>
      <c r="CM547" s="10"/>
      <c r="CN547" s="10"/>
      <c r="CO547" s="10"/>
      <c r="CP547" s="10"/>
      <c r="CQ547" s="10"/>
      <c r="CR547" s="10"/>
      <c r="CS547" s="10"/>
      <c r="CT547" s="10"/>
      <c r="CU547" s="10"/>
      <c r="CV547" s="10"/>
      <c r="CW547" s="10"/>
      <c r="CX547" s="10"/>
      <c r="CY547" s="10"/>
      <c r="CZ547" s="10"/>
      <c r="DA547" s="10"/>
      <c r="DB547" s="10"/>
      <c r="DC547" s="10"/>
      <c r="DD547" s="10"/>
      <c r="DE547" s="10"/>
      <c r="DF547" s="10"/>
      <c r="DG547" s="10"/>
      <c r="DH547" s="10"/>
      <c r="DI547" s="10"/>
      <c r="DJ547" s="10"/>
      <c r="DK547" s="10"/>
      <c r="DL547" s="10"/>
      <c r="DM547" s="10"/>
      <c r="DN547" s="10"/>
      <c r="DO547" s="10"/>
      <c r="DP547" s="10"/>
    </row>
    <row r="548" spans="2:120" x14ac:dyDescent="0.25">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0"/>
      <c r="BM548" s="10"/>
      <c r="BN548" s="10"/>
      <c r="BO548" s="10"/>
      <c r="BP548" s="10"/>
      <c r="BQ548" s="10"/>
      <c r="BR548" s="10"/>
      <c r="BS548" s="10"/>
      <c r="BT548" s="10"/>
      <c r="BU548" s="10"/>
      <c r="BV548" s="10"/>
      <c r="BW548" s="10"/>
      <c r="BX548" s="10"/>
      <c r="BY548" s="10"/>
      <c r="BZ548" s="10"/>
      <c r="CA548" s="10"/>
      <c r="CB548" s="10"/>
      <c r="CC548" s="10"/>
      <c r="CD548" s="10"/>
      <c r="CE548" s="10"/>
      <c r="CF548" s="10"/>
      <c r="CG548" s="10"/>
      <c r="CH548" s="10"/>
      <c r="CI548" s="10"/>
      <c r="CJ548" s="10"/>
      <c r="CK548" s="10"/>
      <c r="CL548" s="10"/>
      <c r="CM548" s="10"/>
      <c r="CN548" s="10"/>
      <c r="CO548" s="10"/>
      <c r="CP548" s="10"/>
      <c r="CQ548" s="10"/>
      <c r="CR548" s="10"/>
      <c r="CS548" s="10"/>
      <c r="CT548" s="10"/>
      <c r="CU548" s="10"/>
      <c r="CV548" s="10"/>
      <c r="CW548" s="10"/>
      <c r="CX548" s="10"/>
      <c r="CY548" s="10"/>
      <c r="CZ548" s="10"/>
      <c r="DA548" s="10"/>
      <c r="DB548" s="10"/>
      <c r="DC548" s="10"/>
      <c r="DD548" s="10"/>
      <c r="DE548" s="10"/>
      <c r="DF548" s="10"/>
      <c r="DG548" s="10"/>
      <c r="DH548" s="10"/>
      <c r="DI548" s="10"/>
      <c r="DJ548" s="10"/>
      <c r="DK548" s="10"/>
      <c r="DL548" s="10"/>
      <c r="DM548" s="10"/>
      <c r="DN548" s="10"/>
      <c r="DO548" s="10"/>
      <c r="DP548" s="10"/>
    </row>
    <row r="549" spans="2:120" x14ac:dyDescent="0.25">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0"/>
      <c r="BM549" s="10"/>
      <c r="BN549" s="10"/>
      <c r="BO549" s="10"/>
      <c r="BP549" s="10"/>
      <c r="BQ549" s="10"/>
      <c r="BR549" s="10"/>
      <c r="BS549" s="10"/>
      <c r="BT549" s="10"/>
      <c r="BU549" s="10"/>
      <c r="BV549" s="10"/>
      <c r="BW549" s="10"/>
      <c r="BX549" s="10"/>
      <c r="BY549" s="10"/>
      <c r="BZ549" s="10"/>
      <c r="CA549" s="10"/>
      <c r="CB549" s="10"/>
      <c r="CC549" s="10"/>
      <c r="CD549" s="10"/>
      <c r="CE549" s="10"/>
      <c r="CF549" s="10"/>
      <c r="CG549" s="10"/>
      <c r="CH549" s="10"/>
      <c r="CI549" s="10"/>
      <c r="CJ549" s="10"/>
      <c r="CK549" s="10"/>
      <c r="CL549" s="10"/>
      <c r="CM549" s="10"/>
      <c r="CN549" s="10"/>
      <c r="CO549" s="10"/>
      <c r="CP549" s="10"/>
      <c r="CQ549" s="10"/>
      <c r="CR549" s="10"/>
      <c r="CS549" s="10"/>
      <c r="CT549" s="10"/>
      <c r="CU549" s="10"/>
      <c r="CV549" s="10"/>
      <c r="CW549" s="10"/>
      <c r="CX549" s="10"/>
      <c r="CY549" s="10"/>
      <c r="CZ549" s="10"/>
      <c r="DA549" s="10"/>
      <c r="DB549" s="10"/>
      <c r="DC549" s="10"/>
      <c r="DD549" s="10"/>
      <c r="DE549" s="10"/>
      <c r="DF549" s="10"/>
      <c r="DG549" s="10"/>
      <c r="DH549" s="10"/>
      <c r="DI549" s="10"/>
      <c r="DJ549" s="10"/>
      <c r="DK549" s="10"/>
      <c r="DL549" s="10"/>
      <c r="DM549" s="10"/>
      <c r="DN549" s="10"/>
      <c r="DO549" s="10"/>
      <c r="DP549" s="10"/>
    </row>
    <row r="550" spans="2:120" x14ac:dyDescent="0.25">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0"/>
      <c r="BM550" s="10"/>
      <c r="BN550" s="10"/>
      <c r="BO550" s="10"/>
      <c r="BP550" s="10"/>
      <c r="BQ550" s="10"/>
      <c r="BR550" s="10"/>
      <c r="BS550" s="10"/>
      <c r="BT550" s="10"/>
      <c r="BU550" s="10"/>
      <c r="BV550" s="10"/>
      <c r="BW550" s="10"/>
      <c r="BX550" s="10"/>
      <c r="BY550" s="10"/>
      <c r="BZ550" s="10"/>
      <c r="CA550" s="10"/>
      <c r="CB550" s="10"/>
      <c r="CC550" s="10"/>
      <c r="CD550" s="10"/>
      <c r="CE550" s="10"/>
      <c r="CF550" s="10"/>
      <c r="CG550" s="10"/>
      <c r="CH550" s="10"/>
      <c r="CI550" s="10"/>
      <c r="CJ550" s="10"/>
      <c r="CK550" s="10"/>
      <c r="CL550" s="10"/>
      <c r="CM550" s="10"/>
      <c r="CN550" s="10"/>
      <c r="CO550" s="10"/>
      <c r="CP550" s="10"/>
      <c r="CQ550" s="10"/>
      <c r="CR550" s="10"/>
      <c r="CS550" s="10"/>
      <c r="CT550" s="10"/>
      <c r="CU550" s="10"/>
      <c r="CV550" s="10"/>
      <c r="CW550" s="10"/>
      <c r="CX550" s="10"/>
      <c r="CY550" s="10"/>
      <c r="CZ550" s="10"/>
      <c r="DA550" s="10"/>
      <c r="DB550" s="10"/>
      <c r="DC550" s="10"/>
      <c r="DD550" s="10"/>
      <c r="DE550" s="10"/>
      <c r="DF550" s="10"/>
      <c r="DG550" s="10"/>
      <c r="DH550" s="10"/>
      <c r="DI550" s="10"/>
      <c r="DJ550" s="10"/>
      <c r="DK550" s="10"/>
      <c r="DL550" s="10"/>
      <c r="DM550" s="10"/>
      <c r="DN550" s="10"/>
      <c r="DO550" s="10"/>
      <c r="DP550" s="10"/>
    </row>
    <row r="551" spans="2:120" x14ac:dyDescent="0.25">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10"/>
      <c r="BM551" s="10"/>
      <c r="BN551" s="10"/>
      <c r="BO551" s="10"/>
      <c r="BP551" s="10"/>
      <c r="BQ551" s="10"/>
      <c r="BR551" s="10"/>
      <c r="BS551" s="10"/>
      <c r="BT551" s="10"/>
      <c r="BU551" s="10"/>
      <c r="BV551" s="10"/>
      <c r="BW551" s="10"/>
      <c r="BX551" s="10"/>
      <c r="BY551" s="10"/>
      <c r="BZ551" s="10"/>
      <c r="CA551" s="10"/>
      <c r="CB551" s="10"/>
      <c r="CC551" s="10"/>
      <c r="CD551" s="10"/>
      <c r="CE551" s="10"/>
      <c r="CF551" s="10"/>
      <c r="CG551" s="10"/>
      <c r="CH551" s="10"/>
      <c r="CI551" s="10"/>
      <c r="CJ551" s="10"/>
      <c r="CK551" s="10"/>
      <c r="CL551" s="10"/>
      <c r="CM551" s="10"/>
      <c r="CN551" s="10"/>
      <c r="CO551" s="10"/>
      <c r="CP551" s="10"/>
      <c r="CQ551" s="10"/>
      <c r="CR551" s="10"/>
      <c r="CS551" s="10"/>
      <c r="CT551" s="10"/>
      <c r="CU551" s="10"/>
      <c r="CV551" s="10"/>
      <c r="CW551" s="10"/>
      <c r="CX551" s="10"/>
      <c r="CY551" s="10"/>
      <c r="CZ551" s="10"/>
      <c r="DA551" s="10"/>
      <c r="DB551" s="10"/>
      <c r="DC551" s="10"/>
      <c r="DD551" s="10"/>
      <c r="DE551" s="10"/>
      <c r="DF551" s="10"/>
      <c r="DG551" s="10"/>
      <c r="DH551" s="10"/>
      <c r="DI551" s="10"/>
      <c r="DJ551" s="10"/>
      <c r="DK551" s="10"/>
      <c r="DL551" s="10"/>
      <c r="DM551" s="10"/>
      <c r="DN551" s="10"/>
      <c r="DO551" s="10"/>
      <c r="DP551" s="10"/>
    </row>
    <row r="552" spans="2:120" x14ac:dyDescent="0.25">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10"/>
      <c r="BM552" s="10"/>
      <c r="BN552" s="10"/>
      <c r="BO552" s="10"/>
      <c r="BP552" s="10"/>
      <c r="BQ552" s="10"/>
      <c r="BR552" s="10"/>
      <c r="BS552" s="10"/>
      <c r="BT552" s="10"/>
      <c r="BU552" s="10"/>
      <c r="BV552" s="10"/>
      <c r="BW552" s="10"/>
      <c r="BX552" s="10"/>
      <c r="BY552" s="10"/>
      <c r="BZ552" s="10"/>
      <c r="CA552" s="10"/>
      <c r="CB552" s="10"/>
      <c r="CC552" s="10"/>
      <c r="CD552" s="10"/>
      <c r="CE552" s="10"/>
      <c r="CF552" s="10"/>
      <c r="CG552" s="10"/>
      <c r="CH552" s="10"/>
      <c r="CI552" s="10"/>
      <c r="CJ552" s="10"/>
      <c r="CK552" s="10"/>
      <c r="CL552" s="10"/>
      <c r="CM552" s="10"/>
      <c r="CN552" s="10"/>
      <c r="CO552" s="10"/>
      <c r="CP552" s="10"/>
      <c r="CQ552" s="10"/>
      <c r="CR552" s="10"/>
      <c r="CS552" s="10"/>
      <c r="CT552" s="10"/>
      <c r="CU552" s="10"/>
      <c r="CV552" s="10"/>
      <c r="CW552" s="10"/>
      <c r="CX552" s="10"/>
      <c r="CY552" s="10"/>
      <c r="CZ552" s="10"/>
      <c r="DA552" s="10"/>
      <c r="DB552" s="10"/>
      <c r="DC552" s="10"/>
      <c r="DD552" s="10"/>
      <c r="DE552" s="10"/>
      <c r="DF552" s="10"/>
      <c r="DG552" s="10"/>
      <c r="DH552" s="10"/>
      <c r="DI552" s="10"/>
      <c r="DJ552" s="10"/>
      <c r="DK552" s="10"/>
      <c r="DL552" s="10"/>
      <c r="DM552" s="10"/>
      <c r="DN552" s="10"/>
      <c r="DO552" s="10"/>
      <c r="DP552" s="10"/>
    </row>
    <row r="553" spans="2:120" x14ac:dyDescent="0.25">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0"/>
      <c r="BM553" s="10"/>
      <c r="BN553" s="10"/>
      <c r="BO553" s="10"/>
      <c r="BP553" s="10"/>
      <c r="BQ553" s="10"/>
      <c r="BR553" s="10"/>
      <c r="BS553" s="10"/>
      <c r="BT553" s="10"/>
      <c r="BU553" s="10"/>
      <c r="BV553" s="10"/>
      <c r="BW553" s="10"/>
      <c r="BX553" s="10"/>
      <c r="BY553" s="10"/>
      <c r="BZ553" s="10"/>
      <c r="CA553" s="10"/>
      <c r="CB553" s="10"/>
      <c r="CC553" s="10"/>
      <c r="CD553" s="10"/>
      <c r="CE553" s="10"/>
      <c r="CF553" s="10"/>
      <c r="CG553" s="10"/>
      <c r="CH553" s="10"/>
      <c r="CI553" s="10"/>
      <c r="CJ553" s="10"/>
      <c r="CK553" s="10"/>
      <c r="CL553" s="10"/>
      <c r="CM553" s="10"/>
      <c r="CN553" s="10"/>
      <c r="CO553" s="10"/>
      <c r="CP553" s="10"/>
      <c r="CQ553" s="10"/>
      <c r="CR553" s="10"/>
      <c r="CS553" s="10"/>
      <c r="CT553" s="10"/>
      <c r="CU553" s="10"/>
      <c r="CV553" s="10"/>
      <c r="CW553" s="10"/>
      <c r="CX553" s="10"/>
      <c r="CY553" s="10"/>
      <c r="CZ553" s="10"/>
      <c r="DA553" s="10"/>
      <c r="DB553" s="10"/>
      <c r="DC553" s="10"/>
      <c r="DD553" s="10"/>
      <c r="DE553" s="10"/>
      <c r="DF553" s="10"/>
      <c r="DG553" s="10"/>
      <c r="DH553" s="10"/>
      <c r="DI553" s="10"/>
      <c r="DJ553" s="10"/>
      <c r="DK553" s="10"/>
      <c r="DL553" s="10"/>
      <c r="DM553" s="10"/>
      <c r="DN553" s="10"/>
      <c r="DO553" s="10"/>
      <c r="DP553" s="10"/>
    </row>
    <row r="554" spans="2:120" x14ac:dyDescent="0.25">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0"/>
      <c r="BM554" s="10"/>
      <c r="BN554" s="10"/>
      <c r="BO554" s="10"/>
      <c r="BP554" s="10"/>
      <c r="BQ554" s="10"/>
      <c r="BR554" s="10"/>
      <c r="BS554" s="10"/>
      <c r="BT554" s="10"/>
      <c r="BU554" s="10"/>
      <c r="BV554" s="10"/>
      <c r="BW554" s="10"/>
      <c r="BX554" s="10"/>
      <c r="BY554" s="10"/>
      <c r="BZ554" s="10"/>
      <c r="CA554" s="10"/>
      <c r="CB554" s="10"/>
      <c r="CC554" s="10"/>
      <c r="CD554" s="10"/>
      <c r="CE554" s="10"/>
      <c r="CF554" s="10"/>
      <c r="CG554" s="10"/>
      <c r="CH554" s="10"/>
      <c r="CI554" s="10"/>
      <c r="CJ554" s="10"/>
      <c r="CK554" s="10"/>
      <c r="CL554" s="10"/>
      <c r="CM554" s="10"/>
      <c r="CN554" s="10"/>
      <c r="CO554" s="10"/>
      <c r="CP554" s="10"/>
      <c r="CQ554" s="10"/>
      <c r="CR554" s="10"/>
      <c r="CS554" s="10"/>
      <c r="CT554" s="10"/>
      <c r="CU554" s="10"/>
      <c r="CV554" s="10"/>
      <c r="CW554" s="10"/>
      <c r="CX554" s="10"/>
      <c r="CY554" s="10"/>
      <c r="CZ554" s="10"/>
      <c r="DA554" s="10"/>
      <c r="DB554" s="10"/>
      <c r="DC554" s="10"/>
      <c r="DD554" s="10"/>
      <c r="DE554" s="10"/>
      <c r="DF554" s="10"/>
      <c r="DG554" s="10"/>
      <c r="DH554" s="10"/>
      <c r="DI554" s="10"/>
      <c r="DJ554" s="10"/>
      <c r="DK554" s="10"/>
      <c r="DL554" s="10"/>
      <c r="DM554" s="10"/>
      <c r="DN554" s="10"/>
      <c r="DO554" s="10"/>
      <c r="DP554" s="10"/>
    </row>
    <row r="555" spans="2:120" x14ac:dyDescent="0.25">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0"/>
      <c r="BM555" s="10"/>
      <c r="BN555" s="10"/>
      <c r="BO555" s="10"/>
      <c r="BP555" s="10"/>
      <c r="BQ555" s="10"/>
      <c r="BR555" s="10"/>
      <c r="BS555" s="10"/>
      <c r="BT555" s="10"/>
      <c r="BU555" s="10"/>
      <c r="BV555" s="10"/>
      <c r="BW555" s="10"/>
      <c r="BX555" s="10"/>
      <c r="BY555" s="10"/>
      <c r="BZ555" s="10"/>
      <c r="CA555" s="10"/>
      <c r="CB555" s="10"/>
      <c r="CC555" s="10"/>
      <c r="CD555" s="10"/>
      <c r="CE555" s="10"/>
      <c r="CF555" s="10"/>
      <c r="CG555" s="10"/>
      <c r="CH555" s="10"/>
      <c r="CI555" s="10"/>
      <c r="CJ555" s="10"/>
      <c r="CK555" s="10"/>
      <c r="CL555" s="10"/>
      <c r="CM555" s="10"/>
      <c r="CN555" s="10"/>
      <c r="CO555" s="10"/>
      <c r="CP555" s="10"/>
      <c r="CQ555" s="10"/>
      <c r="CR555" s="10"/>
      <c r="CS555" s="10"/>
      <c r="CT555" s="10"/>
      <c r="CU555" s="10"/>
      <c r="CV555" s="10"/>
      <c r="CW555" s="10"/>
      <c r="CX555" s="10"/>
      <c r="CY555" s="10"/>
      <c r="CZ555" s="10"/>
      <c r="DA555" s="10"/>
      <c r="DB555" s="10"/>
      <c r="DC555" s="10"/>
      <c r="DD555" s="10"/>
      <c r="DE555" s="10"/>
      <c r="DF555" s="10"/>
      <c r="DG555" s="10"/>
      <c r="DH555" s="10"/>
      <c r="DI555" s="10"/>
      <c r="DJ555" s="10"/>
      <c r="DK555" s="10"/>
      <c r="DL555" s="10"/>
      <c r="DM555" s="10"/>
      <c r="DN555" s="10"/>
      <c r="DO555" s="10"/>
      <c r="DP555" s="10"/>
    </row>
    <row r="556" spans="2:120" x14ac:dyDescent="0.25">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10"/>
      <c r="BM556" s="10"/>
      <c r="BN556" s="10"/>
      <c r="BO556" s="10"/>
      <c r="BP556" s="10"/>
      <c r="BQ556" s="10"/>
      <c r="BR556" s="10"/>
      <c r="BS556" s="10"/>
      <c r="BT556" s="10"/>
      <c r="BU556" s="10"/>
      <c r="BV556" s="10"/>
      <c r="BW556" s="10"/>
      <c r="BX556" s="10"/>
      <c r="BY556" s="10"/>
      <c r="BZ556" s="10"/>
      <c r="CA556" s="10"/>
      <c r="CB556" s="10"/>
      <c r="CC556" s="10"/>
      <c r="CD556" s="10"/>
      <c r="CE556" s="10"/>
      <c r="CF556" s="10"/>
      <c r="CG556" s="10"/>
      <c r="CH556" s="10"/>
      <c r="CI556" s="10"/>
      <c r="CJ556" s="10"/>
      <c r="CK556" s="10"/>
      <c r="CL556" s="10"/>
      <c r="CM556" s="10"/>
      <c r="CN556" s="10"/>
      <c r="CO556" s="10"/>
      <c r="CP556" s="10"/>
      <c r="CQ556" s="10"/>
      <c r="CR556" s="10"/>
      <c r="CS556" s="10"/>
      <c r="CT556" s="10"/>
      <c r="CU556" s="10"/>
      <c r="CV556" s="10"/>
      <c r="CW556" s="10"/>
      <c r="CX556" s="10"/>
      <c r="CY556" s="10"/>
      <c r="CZ556" s="10"/>
      <c r="DA556" s="10"/>
      <c r="DB556" s="10"/>
      <c r="DC556" s="10"/>
      <c r="DD556" s="10"/>
      <c r="DE556" s="10"/>
      <c r="DF556" s="10"/>
      <c r="DG556" s="10"/>
      <c r="DH556" s="10"/>
      <c r="DI556" s="10"/>
      <c r="DJ556" s="10"/>
      <c r="DK556" s="10"/>
      <c r="DL556" s="10"/>
      <c r="DM556" s="10"/>
      <c r="DN556" s="10"/>
      <c r="DO556" s="10"/>
      <c r="DP556" s="10"/>
    </row>
    <row r="557" spans="2:120" x14ac:dyDescent="0.25">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10"/>
      <c r="BM557" s="10"/>
      <c r="BN557" s="10"/>
      <c r="BO557" s="10"/>
      <c r="BP557" s="10"/>
      <c r="BQ557" s="10"/>
      <c r="BR557" s="10"/>
      <c r="BS557" s="10"/>
      <c r="BT557" s="10"/>
      <c r="BU557" s="10"/>
      <c r="BV557" s="10"/>
      <c r="BW557" s="10"/>
      <c r="BX557" s="10"/>
      <c r="BY557" s="10"/>
      <c r="BZ557" s="10"/>
      <c r="CA557" s="10"/>
      <c r="CB557" s="10"/>
      <c r="CC557" s="10"/>
      <c r="CD557" s="10"/>
      <c r="CE557" s="10"/>
      <c r="CF557" s="10"/>
      <c r="CG557" s="10"/>
      <c r="CH557" s="10"/>
      <c r="CI557" s="10"/>
      <c r="CJ557" s="10"/>
      <c r="CK557" s="10"/>
      <c r="CL557" s="10"/>
      <c r="CM557" s="10"/>
      <c r="CN557" s="10"/>
      <c r="CO557" s="10"/>
      <c r="CP557" s="10"/>
      <c r="CQ557" s="10"/>
      <c r="CR557" s="10"/>
      <c r="CS557" s="10"/>
      <c r="CT557" s="10"/>
      <c r="CU557" s="10"/>
      <c r="CV557" s="10"/>
      <c r="CW557" s="10"/>
      <c r="CX557" s="10"/>
      <c r="CY557" s="10"/>
      <c r="CZ557" s="10"/>
      <c r="DA557" s="10"/>
      <c r="DB557" s="10"/>
      <c r="DC557" s="10"/>
      <c r="DD557" s="10"/>
      <c r="DE557" s="10"/>
      <c r="DF557" s="10"/>
      <c r="DG557" s="10"/>
      <c r="DH557" s="10"/>
      <c r="DI557" s="10"/>
      <c r="DJ557" s="10"/>
      <c r="DK557" s="10"/>
      <c r="DL557" s="10"/>
      <c r="DM557" s="10"/>
      <c r="DN557" s="10"/>
      <c r="DO557" s="10"/>
      <c r="DP557" s="10"/>
    </row>
    <row r="558" spans="2:120" x14ac:dyDescent="0.25">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c r="BF558" s="10"/>
      <c r="BG558" s="10"/>
      <c r="BH558" s="10"/>
      <c r="BI558" s="10"/>
      <c r="BJ558" s="10"/>
      <c r="BK558" s="10"/>
      <c r="BL558" s="10"/>
      <c r="BM558" s="10"/>
      <c r="BN558" s="10"/>
      <c r="BO558" s="10"/>
      <c r="BP558" s="10"/>
      <c r="BQ558" s="10"/>
      <c r="BR558" s="10"/>
      <c r="BS558" s="10"/>
      <c r="BT558" s="10"/>
      <c r="BU558" s="10"/>
      <c r="BV558" s="10"/>
      <c r="BW558" s="10"/>
      <c r="BX558" s="10"/>
      <c r="BY558" s="10"/>
      <c r="BZ558" s="10"/>
      <c r="CA558" s="10"/>
      <c r="CB558" s="10"/>
      <c r="CC558" s="10"/>
      <c r="CD558" s="10"/>
      <c r="CE558" s="10"/>
      <c r="CF558" s="10"/>
      <c r="CG558" s="10"/>
      <c r="CH558" s="10"/>
      <c r="CI558" s="10"/>
      <c r="CJ558" s="10"/>
      <c r="CK558" s="10"/>
      <c r="CL558" s="10"/>
      <c r="CM558" s="10"/>
      <c r="CN558" s="10"/>
      <c r="CO558" s="10"/>
      <c r="CP558" s="10"/>
      <c r="CQ558" s="10"/>
      <c r="CR558" s="10"/>
      <c r="CS558" s="10"/>
      <c r="CT558" s="10"/>
      <c r="CU558" s="10"/>
      <c r="CV558" s="10"/>
      <c r="CW558" s="10"/>
      <c r="CX558" s="10"/>
      <c r="CY558" s="10"/>
      <c r="CZ558" s="10"/>
      <c r="DA558" s="10"/>
      <c r="DB558" s="10"/>
      <c r="DC558" s="10"/>
      <c r="DD558" s="10"/>
      <c r="DE558" s="10"/>
      <c r="DF558" s="10"/>
      <c r="DG558" s="10"/>
      <c r="DH558" s="10"/>
      <c r="DI558" s="10"/>
      <c r="DJ558" s="10"/>
      <c r="DK558" s="10"/>
      <c r="DL558" s="10"/>
      <c r="DM558" s="10"/>
      <c r="DN558" s="10"/>
      <c r="DO558" s="10"/>
      <c r="DP558" s="10"/>
    </row>
    <row r="559" spans="2:120" x14ac:dyDescent="0.25">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0"/>
      <c r="BM559" s="10"/>
      <c r="BN559" s="10"/>
      <c r="BO559" s="10"/>
      <c r="BP559" s="10"/>
      <c r="BQ559" s="10"/>
      <c r="BR559" s="10"/>
      <c r="BS559" s="10"/>
      <c r="BT559" s="10"/>
      <c r="BU559" s="10"/>
      <c r="BV559" s="10"/>
      <c r="BW559" s="10"/>
      <c r="BX559" s="10"/>
      <c r="BY559" s="10"/>
      <c r="BZ559" s="10"/>
      <c r="CA559" s="10"/>
      <c r="CB559" s="10"/>
      <c r="CC559" s="10"/>
      <c r="CD559" s="10"/>
      <c r="CE559" s="10"/>
      <c r="CF559" s="10"/>
      <c r="CG559" s="10"/>
      <c r="CH559" s="10"/>
      <c r="CI559" s="10"/>
      <c r="CJ559" s="10"/>
      <c r="CK559" s="10"/>
      <c r="CL559" s="10"/>
      <c r="CM559" s="10"/>
      <c r="CN559" s="10"/>
      <c r="CO559" s="10"/>
      <c r="CP559" s="10"/>
      <c r="CQ559" s="10"/>
      <c r="CR559" s="10"/>
      <c r="CS559" s="10"/>
      <c r="CT559" s="10"/>
      <c r="CU559" s="10"/>
      <c r="CV559" s="10"/>
      <c r="CW559" s="10"/>
      <c r="CX559" s="10"/>
      <c r="CY559" s="10"/>
      <c r="CZ559" s="10"/>
      <c r="DA559" s="10"/>
      <c r="DB559" s="10"/>
      <c r="DC559" s="10"/>
      <c r="DD559" s="10"/>
      <c r="DE559" s="10"/>
      <c r="DF559" s="10"/>
      <c r="DG559" s="10"/>
      <c r="DH559" s="10"/>
      <c r="DI559" s="10"/>
      <c r="DJ559" s="10"/>
      <c r="DK559" s="10"/>
      <c r="DL559" s="10"/>
      <c r="DM559" s="10"/>
      <c r="DN559" s="10"/>
      <c r="DO559" s="10"/>
      <c r="DP559" s="10"/>
    </row>
    <row r="560" spans="2:120" x14ac:dyDescent="0.25">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c r="BF560" s="10"/>
      <c r="BG560" s="10"/>
      <c r="BH560" s="10"/>
      <c r="BI560" s="10"/>
      <c r="BJ560" s="10"/>
      <c r="BK560" s="10"/>
      <c r="BL560" s="10"/>
      <c r="BM560" s="10"/>
      <c r="BN560" s="10"/>
      <c r="BO560" s="10"/>
      <c r="BP560" s="10"/>
      <c r="BQ560" s="10"/>
      <c r="BR560" s="10"/>
      <c r="BS560" s="10"/>
      <c r="BT560" s="10"/>
      <c r="BU560" s="10"/>
      <c r="BV560" s="10"/>
      <c r="BW560" s="10"/>
      <c r="BX560" s="10"/>
      <c r="BY560" s="10"/>
      <c r="BZ560" s="10"/>
      <c r="CA560" s="10"/>
      <c r="CB560" s="10"/>
      <c r="CC560" s="10"/>
      <c r="CD560" s="10"/>
      <c r="CE560" s="10"/>
      <c r="CF560" s="10"/>
      <c r="CG560" s="10"/>
      <c r="CH560" s="10"/>
      <c r="CI560" s="10"/>
      <c r="CJ560" s="10"/>
      <c r="CK560" s="10"/>
      <c r="CL560" s="10"/>
      <c r="CM560" s="10"/>
      <c r="CN560" s="10"/>
      <c r="CO560" s="10"/>
      <c r="CP560" s="10"/>
      <c r="CQ560" s="10"/>
      <c r="CR560" s="10"/>
      <c r="CS560" s="10"/>
      <c r="CT560" s="10"/>
      <c r="CU560" s="10"/>
      <c r="CV560" s="10"/>
      <c r="CW560" s="10"/>
      <c r="CX560" s="10"/>
      <c r="CY560" s="10"/>
      <c r="CZ560" s="10"/>
      <c r="DA560" s="10"/>
      <c r="DB560" s="10"/>
      <c r="DC560" s="10"/>
      <c r="DD560" s="10"/>
      <c r="DE560" s="10"/>
      <c r="DF560" s="10"/>
      <c r="DG560" s="10"/>
      <c r="DH560" s="10"/>
      <c r="DI560" s="10"/>
      <c r="DJ560" s="10"/>
      <c r="DK560" s="10"/>
      <c r="DL560" s="10"/>
      <c r="DM560" s="10"/>
      <c r="DN560" s="10"/>
      <c r="DO560" s="10"/>
      <c r="DP560" s="10"/>
    </row>
    <row r="561" spans="2:120" x14ac:dyDescent="0.25">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c r="BF561" s="10"/>
      <c r="BG561" s="10"/>
      <c r="BH561" s="10"/>
      <c r="BI561" s="10"/>
      <c r="BJ561" s="10"/>
      <c r="BK561" s="10"/>
      <c r="BL561" s="10"/>
      <c r="BM561" s="10"/>
      <c r="BN561" s="10"/>
      <c r="BO561" s="10"/>
      <c r="BP561" s="10"/>
      <c r="BQ561" s="10"/>
      <c r="BR561" s="10"/>
      <c r="BS561" s="10"/>
      <c r="BT561" s="10"/>
      <c r="BU561" s="10"/>
      <c r="BV561" s="10"/>
      <c r="BW561" s="10"/>
      <c r="BX561" s="10"/>
      <c r="BY561" s="10"/>
      <c r="BZ561" s="10"/>
      <c r="CA561" s="10"/>
      <c r="CB561" s="10"/>
      <c r="CC561" s="10"/>
      <c r="CD561" s="10"/>
      <c r="CE561" s="10"/>
      <c r="CF561" s="10"/>
      <c r="CG561" s="10"/>
      <c r="CH561" s="10"/>
      <c r="CI561" s="10"/>
      <c r="CJ561" s="10"/>
      <c r="CK561" s="10"/>
      <c r="CL561" s="10"/>
      <c r="CM561" s="10"/>
      <c r="CN561" s="10"/>
      <c r="CO561" s="10"/>
      <c r="CP561" s="10"/>
      <c r="CQ561" s="10"/>
      <c r="CR561" s="10"/>
      <c r="CS561" s="10"/>
      <c r="CT561" s="10"/>
      <c r="CU561" s="10"/>
      <c r="CV561" s="10"/>
      <c r="CW561" s="10"/>
      <c r="CX561" s="10"/>
      <c r="CY561" s="10"/>
      <c r="CZ561" s="10"/>
      <c r="DA561" s="10"/>
      <c r="DB561" s="10"/>
      <c r="DC561" s="10"/>
      <c r="DD561" s="10"/>
      <c r="DE561" s="10"/>
      <c r="DF561" s="10"/>
      <c r="DG561" s="10"/>
      <c r="DH561" s="10"/>
      <c r="DI561" s="10"/>
      <c r="DJ561" s="10"/>
      <c r="DK561" s="10"/>
      <c r="DL561" s="10"/>
      <c r="DM561" s="10"/>
      <c r="DN561" s="10"/>
      <c r="DO561" s="10"/>
      <c r="DP561" s="10"/>
    </row>
    <row r="562" spans="2:120" x14ac:dyDescent="0.25">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c r="BF562" s="10"/>
      <c r="BG562" s="10"/>
      <c r="BH562" s="10"/>
      <c r="BI562" s="10"/>
      <c r="BJ562" s="10"/>
      <c r="BK562" s="10"/>
      <c r="BL562" s="10"/>
      <c r="BM562" s="10"/>
      <c r="BN562" s="10"/>
      <c r="BO562" s="10"/>
      <c r="BP562" s="10"/>
      <c r="BQ562" s="10"/>
      <c r="BR562" s="10"/>
      <c r="BS562" s="10"/>
      <c r="BT562" s="10"/>
      <c r="BU562" s="10"/>
      <c r="BV562" s="10"/>
      <c r="BW562" s="10"/>
      <c r="BX562" s="10"/>
      <c r="BY562" s="10"/>
      <c r="BZ562" s="10"/>
      <c r="CA562" s="10"/>
      <c r="CB562" s="10"/>
      <c r="CC562" s="10"/>
      <c r="CD562" s="10"/>
      <c r="CE562" s="10"/>
      <c r="CF562" s="10"/>
      <c r="CG562" s="10"/>
      <c r="CH562" s="10"/>
      <c r="CI562" s="10"/>
      <c r="CJ562" s="10"/>
      <c r="CK562" s="10"/>
      <c r="CL562" s="10"/>
      <c r="CM562" s="10"/>
      <c r="CN562" s="10"/>
      <c r="CO562" s="10"/>
      <c r="CP562" s="10"/>
      <c r="CQ562" s="10"/>
      <c r="CR562" s="10"/>
      <c r="CS562" s="10"/>
      <c r="CT562" s="10"/>
      <c r="CU562" s="10"/>
      <c r="CV562" s="10"/>
      <c r="CW562" s="10"/>
      <c r="CX562" s="10"/>
      <c r="CY562" s="10"/>
      <c r="CZ562" s="10"/>
      <c r="DA562" s="10"/>
      <c r="DB562" s="10"/>
      <c r="DC562" s="10"/>
      <c r="DD562" s="10"/>
      <c r="DE562" s="10"/>
      <c r="DF562" s="10"/>
      <c r="DG562" s="10"/>
      <c r="DH562" s="10"/>
      <c r="DI562" s="10"/>
      <c r="DJ562" s="10"/>
      <c r="DK562" s="10"/>
      <c r="DL562" s="10"/>
      <c r="DM562" s="10"/>
      <c r="DN562" s="10"/>
      <c r="DO562" s="10"/>
      <c r="DP562" s="10"/>
    </row>
    <row r="563" spans="2:120" x14ac:dyDescent="0.25">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c r="BF563" s="10"/>
      <c r="BG563" s="10"/>
      <c r="BH563" s="10"/>
      <c r="BI563" s="10"/>
      <c r="BJ563" s="10"/>
      <c r="BK563" s="10"/>
      <c r="BL563" s="10"/>
      <c r="BM563" s="10"/>
      <c r="BN563" s="10"/>
      <c r="BO563" s="10"/>
      <c r="BP563" s="10"/>
      <c r="BQ563" s="10"/>
      <c r="BR563" s="10"/>
      <c r="BS563" s="10"/>
      <c r="BT563" s="10"/>
      <c r="BU563" s="10"/>
      <c r="BV563" s="10"/>
      <c r="BW563" s="10"/>
      <c r="BX563" s="10"/>
      <c r="BY563" s="10"/>
      <c r="BZ563" s="10"/>
      <c r="CA563" s="10"/>
      <c r="CB563" s="10"/>
      <c r="CC563" s="10"/>
      <c r="CD563" s="10"/>
      <c r="CE563" s="10"/>
      <c r="CF563" s="10"/>
      <c r="CG563" s="10"/>
      <c r="CH563" s="10"/>
      <c r="CI563" s="10"/>
      <c r="CJ563" s="10"/>
      <c r="CK563" s="10"/>
      <c r="CL563" s="10"/>
      <c r="CM563" s="10"/>
      <c r="CN563" s="10"/>
      <c r="CO563" s="10"/>
      <c r="CP563" s="10"/>
      <c r="CQ563" s="10"/>
      <c r="CR563" s="10"/>
      <c r="CS563" s="10"/>
      <c r="CT563" s="10"/>
      <c r="CU563" s="10"/>
      <c r="CV563" s="10"/>
      <c r="CW563" s="10"/>
      <c r="CX563" s="10"/>
      <c r="CY563" s="10"/>
      <c r="CZ563" s="10"/>
      <c r="DA563" s="10"/>
      <c r="DB563" s="10"/>
      <c r="DC563" s="10"/>
      <c r="DD563" s="10"/>
      <c r="DE563" s="10"/>
      <c r="DF563" s="10"/>
      <c r="DG563" s="10"/>
      <c r="DH563" s="10"/>
      <c r="DI563" s="10"/>
      <c r="DJ563" s="10"/>
      <c r="DK563" s="10"/>
      <c r="DL563" s="10"/>
      <c r="DM563" s="10"/>
      <c r="DN563" s="10"/>
      <c r="DO563" s="10"/>
      <c r="DP563" s="10"/>
    </row>
    <row r="564" spans="2:120" x14ac:dyDescent="0.25">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c r="BF564" s="10"/>
      <c r="BG564" s="10"/>
      <c r="BH564" s="10"/>
      <c r="BI564" s="10"/>
      <c r="BJ564" s="10"/>
      <c r="BK564" s="10"/>
      <c r="BL564" s="10"/>
      <c r="BM564" s="10"/>
      <c r="BN564" s="10"/>
      <c r="BO564" s="10"/>
      <c r="BP564" s="10"/>
      <c r="BQ564" s="10"/>
      <c r="BR564" s="10"/>
      <c r="BS564" s="10"/>
      <c r="BT564" s="10"/>
      <c r="BU564" s="10"/>
      <c r="BV564" s="10"/>
      <c r="BW564" s="10"/>
      <c r="BX564" s="10"/>
      <c r="BY564" s="10"/>
      <c r="BZ564" s="10"/>
      <c r="CA564" s="10"/>
      <c r="CB564" s="10"/>
      <c r="CC564" s="10"/>
      <c r="CD564" s="10"/>
      <c r="CE564" s="10"/>
      <c r="CF564" s="10"/>
      <c r="CG564" s="10"/>
      <c r="CH564" s="10"/>
      <c r="CI564" s="10"/>
      <c r="CJ564" s="10"/>
      <c r="CK564" s="10"/>
      <c r="CL564" s="10"/>
      <c r="CM564" s="10"/>
      <c r="CN564" s="10"/>
      <c r="CO564" s="10"/>
      <c r="CP564" s="10"/>
      <c r="CQ564" s="10"/>
      <c r="CR564" s="10"/>
      <c r="CS564" s="10"/>
      <c r="CT564" s="10"/>
      <c r="CU564" s="10"/>
      <c r="CV564" s="10"/>
      <c r="CW564" s="10"/>
      <c r="CX564" s="10"/>
      <c r="CY564" s="10"/>
      <c r="CZ564" s="10"/>
      <c r="DA564" s="10"/>
      <c r="DB564" s="10"/>
      <c r="DC564" s="10"/>
      <c r="DD564" s="10"/>
      <c r="DE564" s="10"/>
      <c r="DF564" s="10"/>
      <c r="DG564" s="10"/>
      <c r="DH564" s="10"/>
      <c r="DI564" s="10"/>
      <c r="DJ564" s="10"/>
      <c r="DK564" s="10"/>
      <c r="DL564" s="10"/>
      <c r="DM564" s="10"/>
      <c r="DN564" s="10"/>
      <c r="DO564" s="10"/>
      <c r="DP564" s="10"/>
    </row>
    <row r="565" spans="2:120" x14ac:dyDescent="0.25">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c r="BF565" s="10"/>
      <c r="BG565" s="10"/>
      <c r="BH565" s="10"/>
      <c r="BI565" s="10"/>
      <c r="BJ565" s="10"/>
      <c r="BK565" s="10"/>
      <c r="BL565" s="10"/>
      <c r="BM565" s="10"/>
      <c r="BN565" s="10"/>
      <c r="BO565" s="10"/>
      <c r="BP565" s="10"/>
      <c r="BQ565" s="10"/>
      <c r="BR565" s="10"/>
      <c r="BS565" s="10"/>
      <c r="BT565" s="10"/>
      <c r="BU565" s="10"/>
      <c r="BV565" s="10"/>
      <c r="BW565" s="10"/>
      <c r="BX565" s="10"/>
      <c r="BY565" s="10"/>
      <c r="BZ565" s="10"/>
      <c r="CA565" s="10"/>
      <c r="CB565" s="10"/>
      <c r="CC565" s="10"/>
      <c r="CD565" s="10"/>
      <c r="CE565" s="10"/>
      <c r="CF565" s="10"/>
      <c r="CG565" s="10"/>
      <c r="CH565" s="10"/>
      <c r="CI565" s="10"/>
      <c r="CJ565" s="10"/>
      <c r="CK565" s="10"/>
      <c r="CL565" s="10"/>
      <c r="CM565" s="10"/>
      <c r="CN565" s="10"/>
      <c r="CO565" s="10"/>
      <c r="CP565" s="10"/>
      <c r="CQ565" s="10"/>
      <c r="CR565" s="10"/>
      <c r="CS565" s="10"/>
      <c r="CT565" s="10"/>
      <c r="CU565" s="10"/>
      <c r="CV565" s="10"/>
      <c r="CW565" s="10"/>
      <c r="CX565" s="10"/>
      <c r="CY565" s="10"/>
      <c r="CZ565" s="10"/>
      <c r="DA565" s="10"/>
      <c r="DB565" s="10"/>
      <c r="DC565" s="10"/>
      <c r="DD565" s="10"/>
      <c r="DE565" s="10"/>
      <c r="DF565" s="10"/>
      <c r="DG565" s="10"/>
      <c r="DH565" s="10"/>
      <c r="DI565" s="10"/>
      <c r="DJ565" s="10"/>
      <c r="DK565" s="10"/>
      <c r="DL565" s="10"/>
      <c r="DM565" s="10"/>
      <c r="DN565" s="10"/>
      <c r="DO565" s="10"/>
      <c r="DP565" s="10"/>
    </row>
    <row r="566" spans="2:120" x14ac:dyDescent="0.25">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c r="BF566" s="10"/>
      <c r="BG566" s="10"/>
      <c r="BH566" s="10"/>
      <c r="BI566" s="10"/>
      <c r="BJ566" s="10"/>
      <c r="BK566" s="10"/>
      <c r="BL566" s="10"/>
      <c r="BM566" s="10"/>
      <c r="BN566" s="10"/>
      <c r="BO566" s="10"/>
      <c r="BP566" s="10"/>
      <c r="BQ566" s="10"/>
      <c r="BR566" s="10"/>
      <c r="BS566" s="10"/>
      <c r="BT566" s="10"/>
      <c r="BU566" s="10"/>
      <c r="BV566" s="10"/>
      <c r="BW566" s="10"/>
      <c r="BX566" s="10"/>
      <c r="BY566" s="10"/>
      <c r="BZ566" s="10"/>
      <c r="CA566" s="10"/>
      <c r="CB566" s="10"/>
      <c r="CC566" s="10"/>
      <c r="CD566" s="10"/>
      <c r="CE566" s="10"/>
      <c r="CF566" s="10"/>
      <c r="CG566" s="10"/>
      <c r="CH566" s="10"/>
      <c r="CI566" s="10"/>
      <c r="CJ566" s="10"/>
      <c r="CK566" s="10"/>
      <c r="CL566" s="10"/>
      <c r="CM566" s="10"/>
      <c r="CN566" s="10"/>
      <c r="CO566" s="10"/>
      <c r="CP566" s="10"/>
      <c r="CQ566" s="10"/>
      <c r="CR566" s="10"/>
      <c r="CS566" s="10"/>
      <c r="CT566" s="10"/>
      <c r="CU566" s="10"/>
      <c r="CV566" s="10"/>
      <c r="CW566" s="10"/>
      <c r="CX566" s="10"/>
      <c r="CY566" s="10"/>
      <c r="CZ566" s="10"/>
      <c r="DA566" s="10"/>
      <c r="DB566" s="10"/>
      <c r="DC566" s="10"/>
      <c r="DD566" s="10"/>
      <c r="DE566" s="10"/>
      <c r="DF566" s="10"/>
      <c r="DG566" s="10"/>
      <c r="DH566" s="10"/>
      <c r="DI566" s="10"/>
      <c r="DJ566" s="10"/>
      <c r="DK566" s="10"/>
      <c r="DL566" s="10"/>
      <c r="DM566" s="10"/>
      <c r="DN566" s="10"/>
      <c r="DO566" s="10"/>
      <c r="DP566" s="10"/>
    </row>
    <row r="567" spans="2:120" x14ac:dyDescent="0.25">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c r="BF567" s="10"/>
      <c r="BG567" s="10"/>
      <c r="BH567" s="10"/>
      <c r="BI567" s="10"/>
      <c r="BJ567" s="10"/>
      <c r="BK567" s="10"/>
      <c r="BL567" s="10"/>
      <c r="BM567" s="10"/>
      <c r="BN567" s="10"/>
      <c r="BO567" s="10"/>
      <c r="BP567" s="10"/>
      <c r="BQ567" s="10"/>
      <c r="BR567" s="10"/>
      <c r="BS567" s="10"/>
      <c r="BT567" s="10"/>
      <c r="BU567" s="10"/>
      <c r="BV567" s="10"/>
      <c r="BW567" s="10"/>
      <c r="BX567" s="10"/>
      <c r="BY567" s="10"/>
      <c r="BZ567" s="10"/>
      <c r="CA567" s="10"/>
      <c r="CB567" s="10"/>
      <c r="CC567" s="10"/>
      <c r="CD567" s="10"/>
      <c r="CE567" s="10"/>
      <c r="CF567" s="10"/>
      <c r="CG567" s="10"/>
      <c r="CH567" s="10"/>
      <c r="CI567" s="10"/>
      <c r="CJ567" s="10"/>
      <c r="CK567" s="10"/>
      <c r="CL567" s="10"/>
      <c r="CM567" s="10"/>
      <c r="CN567" s="10"/>
      <c r="CO567" s="10"/>
      <c r="CP567" s="10"/>
      <c r="CQ567" s="10"/>
      <c r="CR567" s="10"/>
      <c r="CS567" s="10"/>
      <c r="CT567" s="10"/>
      <c r="CU567" s="10"/>
      <c r="CV567" s="10"/>
      <c r="CW567" s="10"/>
      <c r="CX567" s="10"/>
      <c r="CY567" s="10"/>
      <c r="CZ567" s="10"/>
      <c r="DA567" s="10"/>
      <c r="DB567" s="10"/>
      <c r="DC567" s="10"/>
      <c r="DD567" s="10"/>
      <c r="DE567" s="10"/>
      <c r="DF567" s="10"/>
      <c r="DG567" s="10"/>
      <c r="DH567" s="10"/>
      <c r="DI567" s="10"/>
      <c r="DJ567" s="10"/>
      <c r="DK567" s="10"/>
      <c r="DL567" s="10"/>
      <c r="DM567" s="10"/>
      <c r="DN567" s="10"/>
      <c r="DO567" s="10"/>
      <c r="DP567" s="10"/>
    </row>
    <row r="568" spans="2:120" x14ac:dyDescent="0.25">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10"/>
      <c r="BM568" s="10"/>
      <c r="BN568" s="10"/>
      <c r="BO568" s="10"/>
      <c r="BP568" s="10"/>
      <c r="BQ568" s="10"/>
      <c r="BR568" s="10"/>
      <c r="BS568" s="10"/>
      <c r="BT568" s="10"/>
      <c r="BU568" s="10"/>
      <c r="BV568" s="10"/>
      <c r="BW568" s="10"/>
      <c r="BX568" s="10"/>
      <c r="BY568" s="10"/>
      <c r="BZ568" s="10"/>
      <c r="CA568" s="10"/>
      <c r="CB568" s="10"/>
      <c r="CC568" s="10"/>
      <c r="CD568" s="10"/>
      <c r="CE568" s="10"/>
      <c r="CF568" s="10"/>
      <c r="CG568" s="10"/>
      <c r="CH568" s="10"/>
      <c r="CI568" s="10"/>
      <c r="CJ568" s="10"/>
      <c r="CK568" s="10"/>
      <c r="CL568" s="10"/>
      <c r="CM568" s="10"/>
      <c r="CN568" s="10"/>
      <c r="CO568" s="10"/>
      <c r="CP568" s="10"/>
      <c r="CQ568" s="10"/>
      <c r="CR568" s="10"/>
      <c r="CS568" s="10"/>
      <c r="CT568" s="10"/>
      <c r="CU568" s="10"/>
      <c r="CV568" s="10"/>
      <c r="CW568" s="10"/>
      <c r="CX568" s="10"/>
      <c r="CY568" s="10"/>
      <c r="CZ568" s="10"/>
      <c r="DA568" s="10"/>
      <c r="DB568" s="10"/>
      <c r="DC568" s="10"/>
      <c r="DD568" s="10"/>
      <c r="DE568" s="10"/>
      <c r="DF568" s="10"/>
      <c r="DG568" s="10"/>
      <c r="DH568" s="10"/>
      <c r="DI568" s="10"/>
      <c r="DJ568" s="10"/>
      <c r="DK568" s="10"/>
      <c r="DL568" s="10"/>
      <c r="DM568" s="10"/>
      <c r="DN568" s="10"/>
      <c r="DO568" s="10"/>
      <c r="DP568" s="10"/>
    </row>
    <row r="569" spans="2:120" x14ac:dyDescent="0.25">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c r="BF569" s="10"/>
      <c r="BG569" s="10"/>
      <c r="BH569" s="10"/>
      <c r="BI569" s="10"/>
      <c r="BJ569" s="10"/>
      <c r="BK569" s="10"/>
      <c r="BL569" s="10"/>
      <c r="BM569" s="10"/>
      <c r="BN569" s="10"/>
      <c r="BO569" s="10"/>
      <c r="BP569" s="10"/>
      <c r="BQ569" s="10"/>
      <c r="BR569" s="10"/>
      <c r="BS569" s="10"/>
      <c r="BT569" s="10"/>
      <c r="BU569" s="10"/>
      <c r="BV569" s="10"/>
      <c r="BW569" s="10"/>
      <c r="BX569" s="10"/>
      <c r="BY569" s="10"/>
      <c r="BZ569" s="10"/>
      <c r="CA569" s="10"/>
      <c r="CB569" s="10"/>
      <c r="CC569" s="10"/>
      <c r="CD569" s="10"/>
      <c r="CE569" s="10"/>
      <c r="CF569" s="10"/>
      <c r="CG569" s="10"/>
      <c r="CH569" s="10"/>
      <c r="CI569" s="10"/>
      <c r="CJ569" s="10"/>
      <c r="CK569" s="10"/>
      <c r="CL569" s="10"/>
      <c r="CM569" s="10"/>
      <c r="CN569" s="10"/>
      <c r="CO569" s="10"/>
      <c r="CP569" s="10"/>
      <c r="CQ569" s="10"/>
      <c r="CR569" s="10"/>
      <c r="CS569" s="10"/>
      <c r="CT569" s="10"/>
      <c r="CU569" s="10"/>
      <c r="CV569" s="10"/>
      <c r="CW569" s="10"/>
      <c r="CX569" s="10"/>
      <c r="CY569" s="10"/>
      <c r="CZ569" s="10"/>
      <c r="DA569" s="10"/>
      <c r="DB569" s="10"/>
      <c r="DC569" s="10"/>
      <c r="DD569" s="10"/>
      <c r="DE569" s="10"/>
      <c r="DF569" s="10"/>
      <c r="DG569" s="10"/>
      <c r="DH569" s="10"/>
      <c r="DI569" s="10"/>
      <c r="DJ569" s="10"/>
      <c r="DK569" s="10"/>
      <c r="DL569" s="10"/>
      <c r="DM569" s="10"/>
      <c r="DN569" s="10"/>
      <c r="DO569" s="10"/>
      <c r="DP569" s="10"/>
    </row>
    <row r="570" spans="2:120" x14ac:dyDescent="0.25">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c r="BF570" s="10"/>
      <c r="BG570" s="10"/>
      <c r="BH570" s="10"/>
      <c r="BI570" s="10"/>
      <c r="BJ570" s="10"/>
      <c r="BK570" s="10"/>
      <c r="BL570" s="10"/>
      <c r="BM570" s="10"/>
      <c r="BN570" s="10"/>
      <c r="BO570" s="10"/>
      <c r="BP570" s="10"/>
      <c r="BQ570" s="10"/>
      <c r="BR570" s="10"/>
      <c r="BS570" s="10"/>
      <c r="BT570" s="10"/>
      <c r="BU570" s="10"/>
      <c r="BV570" s="10"/>
      <c r="BW570" s="10"/>
      <c r="BX570" s="10"/>
      <c r="BY570" s="10"/>
      <c r="BZ570" s="10"/>
      <c r="CA570" s="10"/>
      <c r="CB570" s="10"/>
      <c r="CC570" s="10"/>
      <c r="CD570" s="10"/>
      <c r="CE570" s="10"/>
      <c r="CF570" s="10"/>
      <c r="CG570" s="10"/>
      <c r="CH570" s="10"/>
      <c r="CI570" s="10"/>
      <c r="CJ570" s="10"/>
      <c r="CK570" s="10"/>
      <c r="CL570" s="10"/>
      <c r="CM570" s="10"/>
      <c r="CN570" s="10"/>
      <c r="CO570" s="10"/>
      <c r="CP570" s="10"/>
      <c r="CQ570" s="10"/>
      <c r="CR570" s="10"/>
      <c r="CS570" s="10"/>
      <c r="CT570" s="10"/>
      <c r="CU570" s="10"/>
      <c r="CV570" s="10"/>
      <c r="CW570" s="10"/>
      <c r="CX570" s="10"/>
      <c r="CY570" s="10"/>
      <c r="CZ570" s="10"/>
      <c r="DA570" s="10"/>
      <c r="DB570" s="10"/>
      <c r="DC570" s="10"/>
      <c r="DD570" s="10"/>
      <c r="DE570" s="10"/>
      <c r="DF570" s="10"/>
      <c r="DG570" s="10"/>
      <c r="DH570" s="10"/>
      <c r="DI570" s="10"/>
      <c r="DJ570" s="10"/>
      <c r="DK570" s="10"/>
      <c r="DL570" s="10"/>
      <c r="DM570" s="10"/>
      <c r="DN570" s="10"/>
      <c r="DO570" s="10"/>
      <c r="DP570" s="10"/>
    </row>
    <row r="571" spans="2:120" x14ac:dyDescent="0.25">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10"/>
      <c r="BM571" s="10"/>
      <c r="BN571" s="10"/>
      <c r="BO571" s="10"/>
      <c r="BP571" s="10"/>
      <c r="BQ571" s="10"/>
      <c r="BR571" s="10"/>
      <c r="BS571" s="10"/>
      <c r="BT571" s="10"/>
      <c r="BU571" s="10"/>
      <c r="BV571" s="10"/>
      <c r="BW571" s="10"/>
      <c r="BX571" s="10"/>
      <c r="BY571" s="10"/>
      <c r="BZ571" s="10"/>
      <c r="CA571" s="10"/>
      <c r="CB571" s="10"/>
      <c r="CC571" s="10"/>
      <c r="CD571" s="10"/>
      <c r="CE571" s="10"/>
      <c r="CF571" s="10"/>
      <c r="CG571" s="10"/>
      <c r="CH571" s="10"/>
      <c r="CI571" s="10"/>
      <c r="CJ571" s="10"/>
      <c r="CK571" s="10"/>
      <c r="CL571" s="10"/>
      <c r="CM571" s="10"/>
      <c r="CN571" s="10"/>
      <c r="CO571" s="10"/>
      <c r="CP571" s="10"/>
      <c r="CQ571" s="10"/>
      <c r="CR571" s="10"/>
      <c r="CS571" s="10"/>
      <c r="CT571" s="10"/>
      <c r="CU571" s="10"/>
      <c r="CV571" s="10"/>
      <c r="CW571" s="10"/>
      <c r="CX571" s="10"/>
      <c r="CY571" s="10"/>
      <c r="CZ571" s="10"/>
      <c r="DA571" s="10"/>
      <c r="DB571" s="10"/>
      <c r="DC571" s="10"/>
      <c r="DD571" s="10"/>
      <c r="DE571" s="10"/>
      <c r="DF571" s="10"/>
      <c r="DG571" s="10"/>
      <c r="DH571" s="10"/>
      <c r="DI571" s="10"/>
      <c r="DJ571" s="10"/>
      <c r="DK571" s="10"/>
      <c r="DL571" s="10"/>
      <c r="DM571" s="10"/>
      <c r="DN571" s="10"/>
      <c r="DO571" s="10"/>
      <c r="DP571" s="10"/>
    </row>
    <row r="572" spans="2:120" x14ac:dyDescent="0.25">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c r="BF572" s="10"/>
      <c r="BG572" s="10"/>
      <c r="BH572" s="10"/>
      <c r="BI572" s="10"/>
      <c r="BJ572" s="10"/>
      <c r="BK572" s="10"/>
      <c r="BL572" s="10"/>
      <c r="BM572" s="10"/>
      <c r="BN572" s="10"/>
      <c r="BO572" s="10"/>
      <c r="BP572" s="10"/>
      <c r="BQ572" s="10"/>
      <c r="BR572" s="10"/>
      <c r="BS572" s="10"/>
      <c r="BT572" s="10"/>
      <c r="BU572" s="10"/>
      <c r="BV572" s="10"/>
      <c r="BW572" s="10"/>
      <c r="BX572" s="10"/>
      <c r="BY572" s="10"/>
      <c r="BZ572" s="10"/>
      <c r="CA572" s="10"/>
      <c r="CB572" s="10"/>
      <c r="CC572" s="10"/>
      <c r="CD572" s="10"/>
      <c r="CE572" s="10"/>
      <c r="CF572" s="10"/>
      <c r="CG572" s="10"/>
      <c r="CH572" s="10"/>
      <c r="CI572" s="10"/>
      <c r="CJ572" s="10"/>
      <c r="CK572" s="10"/>
      <c r="CL572" s="10"/>
      <c r="CM572" s="10"/>
      <c r="CN572" s="10"/>
      <c r="CO572" s="10"/>
      <c r="CP572" s="10"/>
      <c r="CQ572" s="10"/>
      <c r="CR572" s="10"/>
      <c r="CS572" s="10"/>
      <c r="CT572" s="10"/>
      <c r="CU572" s="10"/>
      <c r="CV572" s="10"/>
      <c r="CW572" s="10"/>
      <c r="CX572" s="10"/>
      <c r="CY572" s="10"/>
      <c r="CZ572" s="10"/>
      <c r="DA572" s="10"/>
      <c r="DB572" s="10"/>
      <c r="DC572" s="10"/>
      <c r="DD572" s="10"/>
      <c r="DE572" s="10"/>
      <c r="DF572" s="10"/>
      <c r="DG572" s="10"/>
      <c r="DH572" s="10"/>
      <c r="DI572" s="10"/>
      <c r="DJ572" s="10"/>
      <c r="DK572" s="10"/>
      <c r="DL572" s="10"/>
      <c r="DM572" s="10"/>
      <c r="DN572" s="10"/>
      <c r="DO572" s="10"/>
      <c r="DP572" s="10"/>
    </row>
    <row r="573" spans="2:120" x14ac:dyDescent="0.25">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10"/>
      <c r="BM573" s="10"/>
      <c r="BN573" s="10"/>
      <c r="BO573" s="10"/>
      <c r="BP573" s="10"/>
      <c r="BQ573" s="10"/>
      <c r="BR573" s="10"/>
      <c r="BS573" s="10"/>
      <c r="BT573" s="10"/>
      <c r="BU573" s="10"/>
      <c r="BV573" s="10"/>
      <c r="BW573" s="10"/>
      <c r="BX573" s="10"/>
      <c r="BY573" s="10"/>
      <c r="BZ573" s="10"/>
      <c r="CA573" s="10"/>
      <c r="CB573" s="10"/>
      <c r="CC573" s="10"/>
      <c r="CD573" s="10"/>
      <c r="CE573" s="10"/>
      <c r="CF573" s="10"/>
      <c r="CG573" s="10"/>
      <c r="CH573" s="10"/>
      <c r="CI573" s="10"/>
      <c r="CJ573" s="10"/>
      <c r="CK573" s="10"/>
      <c r="CL573" s="10"/>
      <c r="CM573" s="10"/>
      <c r="CN573" s="10"/>
      <c r="CO573" s="10"/>
      <c r="CP573" s="10"/>
      <c r="CQ573" s="10"/>
      <c r="CR573" s="10"/>
      <c r="CS573" s="10"/>
      <c r="CT573" s="10"/>
      <c r="CU573" s="10"/>
      <c r="CV573" s="10"/>
      <c r="CW573" s="10"/>
      <c r="CX573" s="10"/>
      <c r="CY573" s="10"/>
      <c r="CZ573" s="10"/>
      <c r="DA573" s="10"/>
      <c r="DB573" s="10"/>
      <c r="DC573" s="10"/>
      <c r="DD573" s="10"/>
      <c r="DE573" s="10"/>
      <c r="DF573" s="10"/>
      <c r="DG573" s="10"/>
      <c r="DH573" s="10"/>
      <c r="DI573" s="10"/>
      <c r="DJ573" s="10"/>
      <c r="DK573" s="10"/>
      <c r="DL573" s="10"/>
      <c r="DM573" s="10"/>
      <c r="DN573" s="10"/>
      <c r="DO573" s="10"/>
      <c r="DP573" s="10"/>
    </row>
    <row r="574" spans="2:120" x14ac:dyDescent="0.25">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10"/>
      <c r="BM574" s="10"/>
      <c r="BN574" s="10"/>
      <c r="BO574" s="10"/>
      <c r="BP574" s="10"/>
      <c r="BQ574" s="10"/>
      <c r="BR574" s="10"/>
      <c r="BS574" s="10"/>
      <c r="BT574" s="10"/>
      <c r="BU574" s="10"/>
      <c r="BV574" s="10"/>
      <c r="BW574" s="10"/>
      <c r="BX574" s="10"/>
      <c r="BY574" s="10"/>
      <c r="BZ574" s="10"/>
      <c r="CA574" s="10"/>
      <c r="CB574" s="10"/>
      <c r="CC574" s="10"/>
      <c r="CD574" s="10"/>
      <c r="CE574" s="10"/>
      <c r="CF574" s="10"/>
      <c r="CG574" s="10"/>
      <c r="CH574" s="10"/>
      <c r="CI574" s="10"/>
      <c r="CJ574" s="10"/>
      <c r="CK574" s="10"/>
      <c r="CL574" s="10"/>
      <c r="CM574" s="10"/>
      <c r="CN574" s="10"/>
      <c r="CO574" s="10"/>
      <c r="CP574" s="10"/>
      <c r="CQ574" s="10"/>
      <c r="CR574" s="10"/>
      <c r="CS574" s="10"/>
      <c r="CT574" s="10"/>
      <c r="CU574" s="10"/>
      <c r="CV574" s="10"/>
      <c r="CW574" s="10"/>
      <c r="CX574" s="10"/>
      <c r="CY574" s="10"/>
      <c r="CZ574" s="10"/>
      <c r="DA574" s="10"/>
      <c r="DB574" s="10"/>
      <c r="DC574" s="10"/>
      <c r="DD574" s="10"/>
      <c r="DE574" s="10"/>
      <c r="DF574" s="10"/>
      <c r="DG574" s="10"/>
      <c r="DH574" s="10"/>
      <c r="DI574" s="10"/>
      <c r="DJ574" s="10"/>
      <c r="DK574" s="10"/>
      <c r="DL574" s="10"/>
      <c r="DM574" s="10"/>
      <c r="DN574" s="10"/>
      <c r="DO574" s="10"/>
      <c r="DP574" s="10"/>
    </row>
    <row r="575" spans="2:120" x14ac:dyDescent="0.25">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c r="BF575" s="10"/>
      <c r="BG575" s="10"/>
      <c r="BH575" s="10"/>
      <c r="BI575" s="10"/>
      <c r="BJ575" s="10"/>
      <c r="BK575" s="10"/>
      <c r="BL575" s="10"/>
      <c r="BM575" s="10"/>
      <c r="BN575" s="10"/>
      <c r="BO575" s="10"/>
      <c r="BP575" s="10"/>
      <c r="BQ575" s="10"/>
      <c r="BR575" s="10"/>
      <c r="BS575" s="10"/>
      <c r="BT575" s="10"/>
      <c r="BU575" s="10"/>
      <c r="BV575" s="10"/>
      <c r="BW575" s="10"/>
      <c r="BX575" s="10"/>
      <c r="BY575" s="10"/>
      <c r="BZ575" s="10"/>
      <c r="CA575" s="10"/>
      <c r="CB575" s="10"/>
      <c r="CC575" s="10"/>
      <c r="CD575" s="10"/>
      <c r="CE575" s="10"/>
      <c r="CF575" s="10"/>
      <c r="CG575" s="10"/>
      <c r="CH575" s="10"/>
      <c r="CI575" s="10"/>
      <c r="CJ575" s="10"/>
      <c r="CK575" s="10"/>
      <c r="CL575" s="10"/>
      <c r="CM575" s="10"/>
      <c r="CN575" s="10"/>
      <c r="CO575" s="10"/>
      <c r="CP575" s="10"/>
      <c r="CQ575" s="10"/>
      <c r="CR575" s="10"/>
      <c r="CS575" s="10"/>
      <c r="CT575" s="10"/>
      <c r="CU575" s="10"/>
      <c r="CV575" s="10"/>
      <c r="CW575" s="10"/>
      <c r="CX575" s="10"/>
      <c r="CY575" s="10"/>
      <c r="CZ575" s="10"/>
      <c r="DA575" s="10"/>
      <c r="DB575" s="10"/>
      <c r="DC575" s="10"/>
      <c r="DD575" s="10"/>
      <c r="DE575" s="10"/>
      <c r="DF575" s="10"/>
      <c r="DG575" s="10"/>
      <c r="DH575" s="10"/>
      <c r="DI575" s="10"/>
      <c r="DJ575" s="10"/>
      <c r="DK575" s="10"/>
      <c r="DL575" s="10"/>
      <c r="DM575" s="10"/>
      <c r="DN575" s="10"/>
      <c r="DO575" s="10"/>
      <c r="DP575" s="10"/>
    </row>
    <row r="576" spans="2:120" x14ac:dyDescent="0.25">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0"/>
      <c r="BM576" s="10"/>
      <c r="BN576" s="10"/>
      <c r="BO576" s="10"/>
      <c r="BP576" s="10"/>
      <c r="BQ576" s="10"/>
      <c r="BR576" s="10"/>
      <c r="BS576" s="10"/>
      <c r="BT576" s="10"/>
      <c r="BU576" s="10"/>
      <c r="BV576" s="10"/>
      <c r="BW576" s="10"/>
      <c r="BX576" s="10"/>
      <c r="BY576" s="10"/>
      <c r="BZ576" s="10"/>
      <c r="CA576" s="10"/>
      <c r="CB576" s="10"/>
      <c r="CC576" s="10"/>
      <c r="CD576" s="10"/>
      <c r="CE576" s="10"/>
      <c r="CF576" s="10"/>
      <c r="CG576" s="10"/>
      <c r="CH576" s="10"/>
      <c r="CI576" s="10"/>
      <c r="CJ576" s="10"/>
      <c r="CK576" s="10"/>
      <c r="CL576" s="10"/>
      <c r="CM576" s="10"/>
      <c r="CN576" s="10"/>
      <c r="CO576" s="10"/>
      <c r="CP576" s="10"/>
      <c r="CQ576" s="10"/>
      <c r="CR576" s="10"/>
      <c r="CS576" s="10"/>
      <c r="CT576" s="10"/>
      <c r="CU576" s="10"/>
      <c r="CV576" s="10"/>
      <c r="CW576" s="10"/>
      <c r="CX576" s="10"/>
      <c r="CY576" s="10"/>
      <c r="CZ576" s="10"/>
      <c r="DA576" s="10"/>
      <c r="DB576" s="10"/>
      <c r="DC576" s="10"/>
      <c r="DD576" s="10"/>
      <c r="DE576" s="10"/>
      <c r="DF576" s="10"/>
      <c r="DG576" s="10"/>
      <c r="DH576" s="10"/>
      <c r="DI576" s="10"/>
      <c r="DJ576" s="10"/>
      <c r="DK576" s="10"/>
      <c r="DL576" s="10"/>
      <c r="DM576" s="10"/>
      <c r="DN576" s="10"/>
      <c r="DO576" s="10"/>
      <c r="DP576" s="10"/>
    </row>
    <row r="577" spans="2:120" x14ac:dyDescent="0.25">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10"/>
      <c r="BM577" s="10"/>
      <c r="BN577" s="10"/>
      <c r="BO577" s="10"/>
      <c r="BP577" s="10"/>
      <c r="BQ577" s="10"/>
      <c r="BR577" s="10"/>
      <c r="BS577" s="10"/>
      <c r="BT577" s="10"/>
      <c r="BU577" s="10"/>
      <c r="BV577" s="10"/>
      <c r="BW577" s="10"/>
      <c r="BX577" s="10"/>
      <c r="BY577" s="10"/>
      <c r="BZ577" s="10"/>
      <c r="CA577" s="10"/>
      <c r="CB577" s="10"/>
      <c r="CC577" s="10"/>
      <c r="CD577" s="10"/>
      <c r="CE577" s="10"/>
      <c r="CF577" s="10"/>
      <c r="CG577" s="10"/>
      <c r="CH577" s="10"/>
      <c r="CI577" s="10"/>
      <c r="CJ577" s="10"/>
      <c r="CK577" s="10"/>
      <c r="CL577" s="10"/>
      <c r="CM577" s="10"/>
      <c r="CN577" s="10"/>
      <c r="CO577" s="10"/>
      <c r="CP577" s="10"/>
      <c r="CQ577" s="10"/>
      <c r="CR577" s="10"/>
      <c r="CS577" s="10"/>
      <c r="CT577" s="10"/>
      <c r="CU577" s="10"/>
      <c r="CV577" s="10"/>
      <c r="CW577" s="10"/>
      <c r="CX577" s="10"/>
      <c r="CY577" s="10"/>
      <c r="CZ577" s="10"/>
      <c r="DA577" s="10"/>
      <c r="DB577" s="10"/>
      <c r="DC577" s="10"/>
      <c r="DD577" s="10"/>
      <c r="DE577" s="10"/>
      <c r="DF577" s="10"/>
      <c r="DG577" s="10"/>
      <c r="DH577" s="10"/>
      <c r="DI577" s="10"/>
      <c r="DJ577" s="10"/>
      <c r="DK577" s="10"/>
      <c r="DL577" s="10"/>
      <c r="DM577" s="10"/>
      <c r="DN577" s="10"/>
      <c r="DO577" s="10"/>
      <c r="DP577" s="10"/>
    </row>
    <row r="578" spans="2:120" x14ac:dyDescent="0.25">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c r="BF578" s="10"/>
      <c r="BG578" s="10"/>
      <c r="BH578" s="10"/>
      <c r="BI578" s="10"/>
      <c r="BJ578" s="10"/>
      <c r="BK578" s="10"/>
      <c r="BL578" s="10"/>
      <c r="BM578" s="10"/>
      <c r="BN578" s="10"/>
      <c r="BO578" s="10"/>
      <c r="BP578" s="10"/>
      <c r="BQ578" s="10"/>
      <c r="BR578" s="10"/>
      <c r="BS578" s="10"/>
      <c r="BT578" s="10"/>
      <c r="BU578" s="10"/>
      <c r="BV578" s="10"/>
      <c r="BW578" s="10"/>
      <c r="BX578" s="10"/>
      <c r="BY578" s="10"/>
      <c r="BZ578" s="10"/>
      <c r="CA578" s="10"/>
      <c r="CB578" s="10"/>
      <c r="CC578" s="10"/>
      <c r="CD578" s="10"/>
      <c r="CE578" s="10"/>
      <c r="CF578" s="10"/>
      <c r="CG578" s="10"/>
      <c r="CH578" s="10"/>
      <c r="CI578" s="10"/>
      <c r="CJ578" s="10"/>
      <c r="CK578" s="10"/>
      <c r="CL578" s="10"/>
      <c r="CM578" s="10"/>
      <c r="CN578" s="10"/>
      <c r="CO578" s="10"/>
      <c r="CP578" s="10"/>
      <c r="CQ578" s="10"/>
      <c r="CR578" s="10"/>
      <c r="CS578" s="10"/>
      <c r="CT578" s="10"/>
      <c r="CU578" s="10"/>
      <c r="CV578" s="10"/>
      <c r="CW578" s="10"/>
      <c r="CX578" s="10"/>
      <c r="CY578" s="10"/>
      <c r="CZ578" s="10"/>
      <c r="DA578" s="10"/>
      <c r="DB578" s="10"/>
      <c r="DC578" s="10"/>
      <c r="DD578" s="10"/>
      <c r="DE578" s="10"/>
      <c r="DF578" s="10"/>
      <c r="DG578" s="10"/>
      <c r="DH578" s="10"/>
      <c r="DI578" s="10"/>
      <c r="DJ578" s="10"/>
      <c r="DK578" s="10"/>
      <c r="DL578" s="10"/>
      <c r="DM578" s="10"/>
      <c r="DN578" s="10"/>
      <c r="DO578" s="10"/>
      <c r="DP578" s="10"/>
    </row>
    <row r="579" spans="2:120" x14ac:dyDescent="0.25">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10"/>
      <c r="BM579" s="10"/>
      <c r="BN579" s="10"/>
      <c r="BO579" s="10"/>
      <c r="BP579" s="10"/>
      <c r="BQ579" s="10"/>
      <c r="BR579" s="10"/>
      <c r="BS579" s="10"/>
      <c r="BT579" s="10"/>
      <c r="BU579" s="10"/>
      <c r="BV579" s="10"/>
      <c r="BW579" s="10"/>
      <c r="BX579" s="10"/>
      <c r="BY579" s="10"/>
      <c r="BZ579" s="10"/>
      <c r="CA579" s="10"/>
      <c r="CB579" s="10"/>
      <c r="CC579" s="10"/>
      <c r="CD579" s="10"/>
      <c r="CE579" s="10"/>
      <c r="CF579" s="10"/>
      <c r="CG579" s="10"/>
      <c r="CH579" s="10"/>
      <c r="CI579" s="10"/>
      <c r="CJ579" s="10"/>
      <c r="CK579" s="10"/>
      <c r="CL579" s="10"/>
      <c r="CM579" s="10"/>
      <c r="CN579" s="10"/>
      <c r="CO579" s="10"/>
      <c r="CP579" s="10"/>
      <c r="CQ579" s="10"/>
      <c r="CR579" s="10"/>
      <c r="CS579" s="10"/>
      <c r="CT579" s="10"/>
      <c r="CU579" s="10"/>
      <c r="CV579" s="10"/>
      <c r="CW579" s="10"/>
      <c r="CX579" s="10"/>
      <c r="CY579" s="10"/>
      <c r="CZ579" s="10"/>
      <c r="DA579" s="10"/>
      <c r="DB579" s="10"/>
      <c r="DC579" s="10"/>
      <c r="DD579" s="10"/>
      <c r="DE579" s="10"/>
      <c r="DF579" s="10"/>
      <c r="DG579" s="10"/>
      <c r="DH579" s="10"/>
      <c r="DI579" s="10"/>
      <c r="DJ579" s="10"/>
      <c r="DK579" s="10"/>
      <c r="DL579" s="10"/>
      <c r="DM579" s="10"/>
      <c r="DN579" s="10"/>
      <c r="DO579" s="10"/>
      <c r="DP579" s="10"/>
    </row>
    <row r="580" spans="2:120" x14ac:dyDescent="0.25">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c r="BF580" s="10"/>
      <c r="BG580" s="10"/>
      <c r="BH580" s="10"/>
      <c r="BI580" s="10"/>
      <c r="BJ580" s="10"/>
      <c r="BK580" s="10"/>
      <c r="BL580" s="10"/>
      <c r="BM580" s="10"/>
      <c r="BN580" s="10"/>
      <c r="BO580" s="10"/>
      <c r="BP580" s="10"/>
      <c r="BQ580" s="10"/>
      <c r="BR580" s="10"/>
      <c r="BS580" s="10"/>
      <c r="BT580" s="10"/>
      <c r="BU580" s="10"/>
      <c r="BV580" s="10"/>
      <c r="BW580" s="10"/>
      <c r="BX580" s="10"/>
      <c r="BY580" s="10"/>
      <c r="BZ580" s="10"/>
      <c r="CA580" s="10"/>
      <c r="CB580" s="10"/>
      <c r="CC580" s="10"/>
      <c r="CD580" s="10"/>
      <c r="CE580" s="10"/>
      <c r="CF580" s="10"/>
      <c r="CG580" s="10"/>
      <c r="CH580" s="10"/>
      <c r="CI580" s="10"/>
      <c r="CJ580" s="10"/>
      <c r="CK580" s="10"/>
      <c r="CL580" s="10"/>
      <c r="CM580" s="10"/>
      <c r="CN580" s="10"/>
      <c r="CO580" s="10"/>
      <c r="CP580" s="10"/>
      <c r="CQ580" s="10"/>
      <c r="CR580" s="10"/>
      <c r="CS580" s="10"/>
      <c r="CT580" s="10"/>
      <c r="CU580" s="10"/>
      <c r="CV580" s="10"/>
      <c r="CW580" s="10"/>
      <c r="CX580" s="10"/>
      <c r="CY580" s="10"/>
      <c r="CZ580" s="10"/>
      <c r="DA580" s="10"/>
      <c r="DB580" s="10"/>
      <c r="DC580" s="10"/>
      <c r="DD580" s="10"/>
      <c r="DE580" s="10"/>
      <c r="DF580" s="10"/>
      <c r="DG580" s="10"/>
      <c r="DH580" s="10"/>
      <c r="DI580" s="10"/>
      <c r="DJ580" s="10"/>
      <c r="DK580" s="10"/>
      <c r="DL580" s="10"/>
      <c r="DM580" s="10"/>
      <c r="DN580" s="10"/>
      <c r="DO580" s="10"/>
      <c r="DP580" s="10"/>
    </row>
    <row r="581" spans="2:120" x14ac:dyDescent="0.25">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c r="BF581" s="10"/>
      <c r="BG581" s="10"/>
      <c r="BH581" s="10"/>
      <c r="BI581" s="10"/>
      <c r="BJ581" s="10"/>
      <c r="BK581" s="10"/>
      <c r="BL581" s="10"/>
      <c r="BM581" s="10"/>
      <c r="BN581" s="10"/>
      <c r="BO581" s="10"/>
      <c r="BP581" s="10"/>
      <c r="BQ581" s="10"/>
      <c r="BR581" s="10"/>
      <c r="BS581" s="10"/>
      <c r="BT581" s="10"/>
      <c r="BU581" s="10"/>
      <c r="BV581" s="10"/>
      <c r="BW581" s="10"/>
      <c r="BX581" s="10"/>
      <c r="BY581" s="10"/>
      <c r="BZ581" s="10"/>
      <c r="CA581" s="10"/>
      <c r="CB581" s="10"/>
      <c r="CC581" s="10"/>
      <c r="CD581" s="10"/>
      <c r="CE581" s="10"/>
      <c r="CF581" s="10"/>
      <c r="CG581" s="10"/>
      <c r="CH581" s="10"/>
      <c r="CI581" s="10"/>
      <c r="CJ581" s="10"/>
      <c r="CK581" s="10"/>
      <c r="CL581" s="10"/>
      <c r="CM581" s="10"/>
      <c r="CN581" s="10"/>
      <c r="CO581" s="10"/>
      <c r="CP581" s="10"/>
      <c r="CQ581" s="10"/>
      <c r="CR581" s="10"/>
      <c r="CS581" s="10"/>
      <c r="CT581" s="10"/>
      <c r="CU581" s="10"/>
      <c r="CV581" s="10"/>
      <c r="CW581" s="10"/>
      <c r="CX581" s="10"/>
      <c r="CY581" s="10"/>
      <c r="CZ581" s="10"/>
      <c r="DA581" s="10"/>
      <c r="DB581" s="10"/>
      <c r="DC581" s="10"/>
      <c r="DD581" s="10"/>
      <c r="DE581" s="10"/>
      <c r="DF581" s="10"/>
      <c r="DG581" s="10"/>
      <c r="DH581" s="10"/>
      <c r="DI581" s="10"/>
      <c r="DJ581" s="10"/>
      <c r="DK581" s="10"/>
      <c r="DL581" s="10"/>
      <c r="DM581" s="10"/>
      <c r="DN581" s="10"/>
      <c r="DO581" s="10"/>
      <c r="DP581" s="10"/>
    </row>
    <row r="582" spans="2:120" x14ac:dyDescent="0.25">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10"/>
      <c r="BM582" s="10"/>
      <c r="BN582" s="10"/>
      <c r="BO582" s="10"/>
      <c r="BP582" s="10"/>
      <c r="BQ582" s="10"/>
      <c r="BR582" s="10"/>
      <c r="BS582" s="10"/>
      <c r="BT582" s="10"/>
      <c r="BU582" s="10"/>
      <c r="BV582" s="10"/>
      <c r="BW582" s="10"/>
      <c r="BX582" s="10"/>
      <c r="BY582" s="10"/>
      <c r="BZ582" s="10"/>
      <c r="CA582" s="10"/>
      <c r="CB582" s="10"/>
      <c r="CC582" s="10"/>
      <c r="CD582" s="10"/>
      <c r="CE582" s="10"/>
      <c r="CF582" s="10"/>
      <c r="CG582" s="10"/>
      <c r="CH582" s="10"/>
      <c r="CI582" s="10"/>
      <c r="CJ582" s="10"/>
      <c r="CK582" s="10"/>
      <c r="CL582" s="10"/>
      <c r="CM582" s="10"/>
      <c r="CN582" s="10"/>
      <c r="CO582" s="10"/>
      <c r="CP582" s="10"/>
      <c r="CQ582" s="10"/>
      <c r="CR582" s="10"/>
      <c r="CS582" s="10"/>
      <c r="CT582" s="10"/>
      <c r="CU582" s="10"/>
      <c r="CV582" s="10"/>
      <c r="CW582" s="10"/>
      <c r="CX582" s="10"/>
      <c r="CY582" s="10"/>
      <c r="CZ582" s="10"/>
      <c r="DA582" s="10"/>
      <c r="DB582" s="10"/>
      <c r="DC582" s="10"/>
      <c r="DD582" s="10"/>
      <c r="DE582" s="10"/>
      <c r="DF582" s="10"/>
      <c r="DG582" s="10"/>
      <c r="DH582" s="10"/>
      <c r="DI582" s="10"/>
      <c r="DJ582" s="10"/>
      <c r="DK582" s="10"/>
      <c r="DL582" s="10"/>
      <c r="DM582" s="10"/>
      <c r="DN582" s="10"/>
      <c r="DO582" s="10"/>
      <c r="DP582" s="10"/>
    </row>
    <row r="583" spans="2:120" x14ac:dyDescent="0.25">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c r="BF583" s="10"/>
      <c r="BG583" s="10"/>
      <c r="BH583" s="10"/>
      <c r="BI583" s="10"/>
      <c r="BJ583" s="10"/>
      <c r="BK583" s="10"/>
      <c r="BL583" s="10"/>
      <c r="BM583" s="10"/>
      <c r="BN583" s="10"/>
      <c r="BO583" s="10"/>
      <c r="BP583" s="10"/>
      <c r="BQ583" s="10"/>
      <c r="BR583" s="10"/>
      <c r="BS583" s="10"/>
      <c r="BT583" s="10"/>
      <c r="BU583" s="10"/>
      <c r="BV583" s="10"/>
      <c r="BW583" s="10"/>
      <c r="BX583" s="10"/>
      <c r="BY583" s="10"/>
      <c r="BZ583" s="10"/>
      <c r="CA583" s="10"/>
      <c r="CB583" s="10"/>
      <c r="CC583" s="10"/>
      <c r="CD583" s="10"/>
      <c r="CE583" s="10"/>
      <c r="CF583" s="10"/>
      <c r="CG583" s="10"/>
      <c r="CH583" s="10"/>
      <c r="CI583" s="10"/>
      <c r="CJ583" s="10"/>
      <c r="CK583" s="10"/>
      <c r="CL583" s="10"/>
      <c r="CM583" s="10"/>
      <c r="CN583" s="10"/>
      <c r="CO583" s="10"/>
      <c r="CP583" s="10"/>
      <c r="CQ583" s="10"/>
      <c r="CR583" s="10"/>
      <c r="CS583" s="10"/>
      <c r="CT583" s="10"/>
      <c r="CU583" s="10"/>
      <c r="CV583" s="10"/>
      <c r="CW583" s="10"/>
      <c r="CX583" s="10"/>
      <c r="CY583" s="10"/>
      <c r="CZ583" s="10"/>
      <c r="DA583" s="10"/>
      <c r="DB583" s="10"/>
      <c r="DC583" s="10"/>
      <c r="DD583" s="10"/>
      <c r="DE583" s="10"/>
      <c r="DF583" s="10"/>
      <c r="DG583" s="10"/>
      <c r="DH583" s="10"/>
      <c r="DI583" s="10"/>
      <c r="DJ583" s="10"/>
      <c r="DK583" s="10"/>
      <c r="DL583" s="10"/>
      <c r="DM583" s="10"/>
      <c r="DN583" s="10"/>
      <c r="DO583" s="10"/>
      <c r="DP583" s="10"/>
    </row>
    <row r="584" spans="2:120" x14ac:dyDescent="0.25">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10"/>
      <c r="BM584" s="10"/>
      <c r="BN584" s="10"/>
      <c r="BO584" s="10"/>
      <c r="BP584" s="10"/>
      <c r="BQ584" s="10"/>
      <c r="BR584" s="10"/>
      <c r="BS584" s="10"/>
      <c r="BT584" s="10"/>
      <c r="BU584" s="10"/>
      <c r="BV584" s="10"/>
      <c r="BW584" s="10"/>
      <c r="BX584" s="10"/>
      <c r="BY584" s="10"/>
      <c r="BZ584" s="10"/>
      <c r="CA584" s="10"/>
      <c r="CB584" s="10"/>
      <c r="CC584" s="10"/>
      <c r="CD584" s="10"/>
      <c r="CE584" s="10"/>
      <c r="CF584" s="10"/>
      <c r="CG584" s="10"/>
      <c r="CH584" s="10"/>
      <c r="CI584" s="10"/>
      <c r="CJ584" s="10"/>
      <c r="CK584" s="10"/>
      <c r="CL584" s="10"/>
      <c r="CM584" s="10"/>
      <c r="CN584" s="10"/>
      <c r="CO584" s="10"/>
      <c r="CP584" s="10"/>
      <c r="CQ584" s="10"/>
      <c r="CR584" s="10"/>
      <c r="CS584" s="10"/>
      <c r="CT584" s="10"/>
      <c r="CU584" s="10"/>
      <c r="CV584" s="10"/>
      <c r="CW584" s="10"/>
      <c r="CX584" s="10"/>
      <c r="CY584" s="10"/>
      <c r="CZ584" s="10"/>
      <c r="DA584" s="10"/>
      <c r="DB584" s="10"/>
      <c r="DC584" s="10"/>
      <c r="DD584" s="10"/>
      <c r="DE584" s="10"/>
      <c r="DF584" s="10"/>
      <c r="DG584" s="10"/>
      <c r="DH584" s="10"/>
      <c r="DI584" s="10"/>
      <c r="DJ584" s="10"/>
      <c r="DK584" s="10"/>
      <c r="DL584" s="10"/>
      <c r="DM584" s="10"/>
      <c r="DN584" s="10"/>
      <c r="DO584" s="10"/>
      <c r="DP584" s="10"/>
    </row>
    <row r="585" spans="2:120" x14ac:dyDescent="0.25">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0"/>
      <c r="BM585" s="10"/>
      <c r="BN585" s="10"/>
      <c r="BO585" s="10"/>
      <c r="BP585" s="10"/>
      <c r="BQ585" s="10"/>
      <c r="BR585" s="10"/>
      <c r="BS585" s="10"/>
      <c r="BT585" s="10"/>
      <c r="BU585" s="10"/>
      <c r="BV585" s="10"/>
      <c r="BW585" s="10"/>
      <c r="BX585" s="10"/>
      <c r="BY585" s="10"/>
      <c r="BZ585" s="10"/>
      <c r="CA585" s="10"/>
      <c r="CB585" s="10"/>
      <c r="CC585" s="10"/>
      <c r="CD585" s="10"/>
      <c r="CE585" s="10"/>
      <c r="CF585" s="10"/>
      <c r="CG585" s="10"/>
      <c r="CH585" s="10"/>
      <c r="CI585" s="10"/>
      <c r="CJ585" s="10"/>
      <c r="CK585" s="10"/>
      <c r="CL585" s="10"/>
      <c r="CM585" s="10"/>
      <c r="CN585" s="10"/>
      <c r="CO585" s="10"/>
      <c r="CP585" s="10"/>
      <c r="CQ585" s="10"/>
      <c r="CR585" s="10"/>
      <c r="CS585" s="10"/>
      <c r="CT585" s="10"/>
      <c r="CU585" s="10"/>
      <c r="CV585" s="10"/>
      <c r="CW585" s="10"/>
      <c r="CX585" s="10"/>
      <c r="CY585" s="10"/>
      <c r="CZ585" s="10"/>
      <c r="DA585" s="10"/>
      <c r="DB585" s="10"/>
      <c r="DC585" s="10"/>
      <c r="DD585" s="10"/>
      <c r="DE585" s="10"/>
      <c r="DF585" s="10"/>
      <c r="DG585" s="10"/>
      <c r="DH585" s="10"/>
      <c r="DI585" s="10"/>
      <c r="DJ585" s="10"/>
      <c r="DK585" s="10"/>
      <c r="DL585" s="10"/>
      <c r="DM585" s="10"/>
      <c r="DN585" s="10"/>
      <c r="DO585" s="10"/>
      <c r="DP585" s="10"/>
    </row>
    <row r="586" spans="2:120" x14ac:dyDescent="0.25">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10"/>
      <c r="BM586" s="10"/>
      <c r="BN586" s="10"/>
      <c r="BO586" s="10"/>
      <c r="BP586" s="10"/>
      <c r="BQ586" s="10"/>
      <c r="BR586" s="10"/>
      <c r="BS586" s="10"/>
      <c r="BT586" s="10"/>
      <c r="BU586" s="10"/>
      <c r="BV586" s="10"/>
      <c r="BW586" s="10"/>
      <c r="BX586" s="10"/>
      <c r="BY586" s="10"/>
      <c r="BZ586" s="10"/>
      <c r="CA586" s="10"/>
      <c r="CB586" s="10"/>
      <c r="CC586" s="10"/>
      <c r="CD586" s="10"/>
      <c r="CE586" s="10"/>
      <c r="CF586" s="10"/>
      <c r="CG586" s="10"/>
      <c r="CH586" s="10"/>
      <c r="CI586" s="10"/>
      <c r="CJ586" s="10"/>
      <c r="CK586" s="10"/>
      <c r="CL586" s="10"/>
      <c r="CM586" s="10"/>
      <c r="CN586" s="10"/>
      <c r="CO586" s="10"/>
      <c r="CP586" s="10"/>
      <c r="CQ586" s="10"/>
      <c r="CR586" s="10"/>
      <c r="CS586" s="10"/>
      <c r="CT586" s="10"/>
      <c r="CU586" s="10"/>
      <c r="CV586" s="10"/>
      <c r="CW586" s="10"/>
      <c r="CX586" s="10"/>
      <c r="CY586" s="10"/>
      <c r="CZ586" s="10"/>
      <c r="DA586" s="10"/>
      <c r="DB586" s="10"/>
      <c r="DC586" s="10"/>
      <c r="DD586" s="10"/>
      <c r="DE586" s="10"/>
      <c r="DF586" s="10"/>
      <c r="DG586" s="10"/>
      <c r="DH586" s="10"/>
      <c r="DI586" s="10"/>
      <c r="DJ586" s="10"/>
      <c r="DK586" s="10"/>
      <c r="DL586" s="10"/>
      <c r="DM586" s="10"/>
      <c r="DN586" s="10"/>
      <c r="DO586" s="10"/>
      <c r="DP586" s="10"/>
    </row>
    <row r="587" spans="2:120" x14ac:dyDescent="0.25">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10"/>
      <c r="BM587" s="10"/>
      <c r="BN587" s="10"/>
      <c r="BO587" s="10"/>
      <c r="BP587" s="10"/>
      <c r="BQ587" s="10"/>
      <c r="BR587" s="10"/>
      <c r="BS587" s="10"/>
      <c r="BT587" s="10"/>
      <c r="BU587" s="10"/>
      <c r="BV587" s="10"/>
      <c r="BW587" s="10"/>
      <c r="BX587" s="10"/>
      <c r="BY587" s="10"/>
      <c r="BZ587" s="10"/>
      <c r="CA587" s="10"/>
      <c r="CB587" s="10"/>
      <c r="CC587" s="10"/>
      <c r="CD587" s="10"/>
      <c r="CE587" s="10"/>
      <c r="CF587" s="10"/>
      <c r="CG587" s="10"/>
      <c r="CH587" s="10"/>
      <c r="CI587" s="10"/>
      <c r="CJ587" s="10"/>
      <c r="CK587" s="10"/>
      <c r="CL587" s="10"/>
      <c r="CM587" s="10"/>
      <c r="CN587" s="10"/>
      <c r="CO587" s="10"/>
      <c r="CP587" s="10"/>
      <c r="CQ587" s="10"/>
      <c r="CR587" s="10"/>
      <c r="CS587" s="10"/>
      <c r="CT587" s="10"/>
      <c r="CU587" s="10"/>
      <c r="CV587" s="10"/>
      <c r="CW587" s="10"/>
      <c r="CX587" s="10"/>
      <c r="CY587" s="10"/>
      <c r="CZ587" s="10"/>
      <c r="DA587" s="10"/>
      <c r="DB587" s="10"/>
      <c r="DC587" s="10"/>
      <c r="DD587" s="10"/>
      <c r="DE587" s="10"/>
      <c r="DF587" s="10"/>
      <c r="DG587" s="10"/>
      <c r="DH587" s="10"/>
      <c r="DI587" s="10"/>
      <c r="DJ587" s="10"/>
      <c r="DK587" s="10"/>
      <c r="DL587" s="10"/>
      <c r="DM587" s="10"/>
      <c r="DN587" s="10"/>
      <c r="DO587" s="10"/>
      <c r="DP587" s="10"/>
    </row>
    <row r="588" spans="2:120" x14ac:dyDescent="0.25">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10"/>
      <c r="BM588" s="10"/>
      <c r="BN588" s="10"/>
      <c r="BO588" s="10"/>
      <c r="BP588" s="10"/>
      <c r="BQ588" s="10"/>
      <c r="BR588" s="10"/>
      <c r="BS588" s="10"/>
      <c r="BT588" s="10"/>
      <c r="BU588" s="10"/>
      <c r="BV588" s="10"/>
      <c r="BW588" s="10"/>
      <c r="BX588" s="10"/>
      <c r="BY588" s="10"/>
      <c r="BZ588" s="10"/>
      <c r="CA588" s="10"/>
      <c r="CB588" s="10"/>
      <c r="CC588" s="10"/>
      <c r="CD588" s="10"/>
      <c r="CE588" s="10"/>
      <c r="CF588" s="10"/>
      <c r="CG588" s="10"/>
      <c r="CH588" s="10"/>
      <c r="CI588" s="10"/>
      <c r="CJ588" s="10"/>
      <c r="CK588" s="10"/>
      <c r="CL588" s="10"/>
      <c r="CM588" s="10"/>
      <c r="CN588" s="10"/>
      <c r="CO588" s="10"/>
      <c r="CP588" s="10"/>
      <c r="CQ588" s="10"/>
      <c r="CR588" s="10"/>
      <c r="CS588" s="10"/>
      <c r="CT588" s="10"/>
      <c r="CU588" s="10"/>
      <c r="CV588" s="10"/>
      <c r="CW588" s="10"/>
      <c r="CX588" s="10"/>
      <c r="CY588" s="10"/>
      <c r="CZ588" s="10"/>
      <c r="DA588" s="10"/>
      <c r="DB588" s="10"/>
      <c r="DC588" s="10"/>
      <c r="DD588" s="10"/>
      <c r="DE588" s="10"/>
      <c r="DF588" s="10"/>
      <c r="DG588" s="10"/>
      <c r="DH588" s="10"/>
      <c r="DI588" s="10"/>
      <c r="DJ588" s="10"/>
      <c r="DK588" s="10"/>
      <c r="DL588" s="10"/>
      <c r="DM588" s="10"/>
      <c r="DN588" s="10"/>
      <c r="DO588" s="10"/>
      <c r="DP588" s="10"/>
    </row>
    <row r="589" spans="2:120" x14ac:dyDescent="0.25">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c r="BF589" s="10"/>
      <c r="BG589" s="10"/>
      <c r="BH589" s="10"/>
      <c r="BI589" s="10"/>
      <c r="BJ589" s="10"/>
      <c r="BK589" s="10"/>
      <c r="BL589" s="10"/>
      <c r="BM589" s="10"/>
      <c r="BN589" s="10"/>
      <c r="BO589" s="10"/>
      <c r="BP589" s="10"/>
      <c r="BQ589" s="10"/>
      <c r="BR589" s="10"/>
      <c r="BS589" s="10"/>
      <c r="BT589" s="10"/>
      <c r="BU589" s="10"/>
      <c r="BV589" s="10"/>
      <c r="BW589" s="10"/>
      <c r="BX589" s="10"/>
      <c r="BY589" s="10"/>
      <c r="BZ589" s="10"/>
      <c r="CA589" s="10"/>
      <c r="CB589" s="10"/>
      <c r="CC589" s="10"/>
      <c r="CD589" s="10"/>
      <c r="CE589" s="10"/>
      <c r="CF589" s="10"/>
      <c r="CG589" s="10"/>
      <c r="CH589" s="10"/>
      <c r="CI589" s="10"/>
      <c r="CJ589" s="10"/>
      <c r="CK589" s="10"/>
      <c r="CL589" s="10"/>
      <c r="CM589" s="10"/>
      <c r="CN589" s="10"/>
      <c r="CO589" s="10"/>
      <c r="CP589" s="10"/>
      <c r="CQ589" s="10"/>
      <c r="CR589" s="10"/>
      <c r="CS589" s="10"/>
      <c r="CT589" s="10"/>
      <c r="CU589" s="10"/>
      <c r="CV589" s="10"/>
      <c r="CW589" s="10"/>
      <c r="CX589" s="10"/>
      <c r="CY589" s="10"/>
      <c r="CZ589" s="10"/>
      <c r="DA589" s="10"/>
      <c r="DB589" s="10"/>
      <c r="DC589" s="10"/>
      <c r="DD589" s="10"/>
      <c r="DE589" s="10"/>
      <c r="DF589" s="10"/>
      <c r="DG589" s="10"/>
      <c r="DH589" s="10"/>
      <c r="DI589" s="10"/>
      <c r="DJ589" s="10"/>
      <c r="DK589" s="10"/>
      <c r="DL589" s="10"/>
      <c r="DM589" s="10"/>
      <c r="DN589" s="10"/>
      <c r="DO589" s="10"/>
      <c r="DP589" s="10"/>
    </row>
    <row r="590" spans="2:120" x14ac:dyDescent="0.25">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c r="BF590" s="10"/>
      <c r="BG590" s="10"/>
      <c r="BH590" s="10"/>
      <c r="BI590" s="10"/>
      <c r="BJ590" s="10"/>
      <c r="BK590" s="10"/>
      <c r="BL590" s="10"/>
      <c r="BM590" s="10"/>
      <c r="BN590" s="10"/>
      <c r="BO590" s="10"/>
      <c r="BP590" s="10"/>
      <c r="BQ590" s="10"/>
      <c r="BR590" s="10"/>
      <c r="BS590" s="10"/>
      <c r="BT590" s="10"/>
      <c r="BU590" s="10"/>
      <c r="BV590" s="10"/>
      <c r="BW590" s="10"/>
      <c r="BX590" s="10"/>
      <c r="BY590" s="10"/>
      <c r="BZ590" s="10"/>
      <c r="CA590" s="10"/>
      <c r="CB590" s="10"/>
      <c r="CC590" s="10"/>
      <c r="CD590" s="10"/>
      <c r="CE590" s="10"/>
      <c r="CF590" s="10"/>
      <c r="CG590" s="10"/>
      <c r="CH590" s="10"/>
      <c r="CI590" s="10"/>
      <c r="CJ590" s="10"/>
      <c r="CK590" s="10"/>
      <c r="CL590" s="10"/>
      <c r="CM590" s="10"/>
      <c r="CN590" s="10"/>
      <c r="CO590" s="10"/>
      <c r="CP590" s="10"/>
      <c r="CQ590" s="10"/>
      <c r="CR590" s="10"/>
      <c r="CS590" s="10"/>
      <c r="CT590" s="10"/>
      <c r="CU590" s="10"/>
      <c r="CV590" s="10"/>
      <c r="CW590" s="10"/>
      <c r="CX590" s="10"/>
      <c r="CY590" s="10"/>
      <c r="CZ590" s="10"/>
      <c r="DA590" s="10"/>
      <c r="DB590" s="10"/>
      <c r="DC590" s="10"/>
      <c r="DD590" s="10"/>
      <c r="DE590" s="10"/>
      <c r="DF590" s="10"/>
      <c r="DG590" s="10"/>
      <c r="DH590" s="10"/>
      <c r="DI590" s="10"/>
      <c r="DJ590" s="10"/>
      <c r="DK590" s="10"/>
      <c r="DL590" s="10"/>
      <c r="DM590" s="10"/>
      <c r="DN590" s="10"/>
      <c r="DO590" s="10"/>
      <c r="DP590" s="10"/>
    </row>
    <row r="591" spans="2:120" x14ac:dyDescent="0.25">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c r="BF591" s="10"/>
      <c r="BG591" s="10"/>
      <c r="BH591" s="10"/>
      <c r="BI591" s="10"/>
      <c r="BJ591" s="10"/>
      <c r="BK591" s="10"/>
      <c r="BL591" s="10"/>
      <c r="BM591" s="10"/>
      <c r="BN591" s="10"/>
      <c r="BO591" s="10"/>
      <c r="BP591" s="10"/>
      <c r="BQ591" s="10"/>
      <c r="BR591" s="10"/>
      <c r="BS591" s="10"/>
      <c r="BT591" s="10"/>
      <c r="BU591" s="10"/>
      <c r="BV591" s="10"/>
      <c r="BW591" s="10"/>
      <c r="BX591" s="10"/>
      <c r="BY591" s="10"/>
      <c r="BZ591" s="10"/>
      <c r="CA591" s="10"/>
      <c r="CB591" s="10"/>
      <c r="CC591" s="10"/>
      <c r="CD591" s="10"/>
      <c r="CE591" s="10"/>
      <c r="CF591" s="10"/>
      <c r="CG591" s="10"/>
      <c r="CH591" s="10"/>
      <c r="CI591" s="10"/>
      <c r="CJ591" s="10"/>
      <c r="CK591" s="10"/>
      <c r="CL591" s="10"/>
      <c r="CM591" s="10"/>
      <c r="CN591" s="10"/>
      <c r="CO591" s="10"/>
      <c r="CP591" s="10"/>
      <c r="CQ591" s="10"/>
      <c r="CR591" s="10"/>
      <c r="CS591" s="10"/>
      <c r="CT591" s="10"/>
      <c r="CU591" s="10"/>
      <c r="CV591" s="10"/>
      <c r="CW591" s="10"/>
      <c r="CX591" s="10"/>
      <c r="CY591" s="10"/>
      <c r="CZ591" s="10"/>
      <c r="DA591" s="10"/>
      <c r="DB591" s="10"/>
      <c r="DC591" s="10"/>
      <c r="DD591" s="10"/>
      <c r="DE591" s="10"/>
      <c r="DF591" s="10"/>
      <c r="DG591" s="10"/>
      <c r="DH591" s="10"/>
      <c r="DI591" s="10"/>
      <c r="DJ591" s="10"/>
      <c r="DK591" s="10"/>
      <c r="DL591" s="10"/>
      <c r="DM591" s="10"/>
      <c r="DN591" s="10"/>
      <c r="DO591" s="10"/>
      <c r="DP591" s="10"/>
    </row>
    <row r="592" spans="2:120" x14ac:dyDescent="0.25">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c r="BF592" s="10"/>
      <c r="BG592" s="10"/>
      <c r="BH592" s="10"/>
      <c r="BI592" s="10"/>
      <c r="BJ592" s="10"/>
      <c r="BK592" s="10"/>
      <c r="BL592" s="10"/>
      <c r="BM592" s="10"/>
      <c r="BN592" s="10"/>
      <c r="BO592" s="10"/>
      <c r="BP592" s="10"/>
      <c r="BQ592" s="10"/>
      <c r="BR592" s="10"/>
      <c r="BS592" s="10"/>
      <c r="BT592" s="10"/>
      <c r="BU592" s="10"/>
      <c r="BV592" s="10"/>
      <c r="BW592" s="10"/>
      <c r="BX592" s="10"/>
      <c r="BY592" s="10"/>
      <c r="BZ592" s="10"/>
      <c r="CA592" s="10"/>
      <c r="CB592" s="10"/>
      <c r="CC592" s="10"/>
      <c r="CD592" s="10"/>
      <c r="CE592" s="10"/>
      <c r="CF592" s="10"/>
      <c r="CG592" s="10"/>
      <c r="CH592" s="10"/>
      <c r="CI592" s="10"/>
      <c r="CJ592" s="10"/>
      <c r="CK592" s="10"/>
      <c r="CL592" s="10"/>
      <c r="CM592" s="10"/>
      <c r="CN592" s="10"/>
      <c r="CO592" s="10"/>
      <c r="CP592" s="10"/>
      <c r="CQ592" s="10"/>
      <c r="CR592" s="10"/>
      <c r="CS592" s="10"/>
      <c r="CT592" s="10"/>
      <c r="CU592" s="10"/>
      <c r="CV592" s="10"/>
      <c r="CW592" s="10"/>
      <c r="CX592" s="10"/>
      <c r="CY592" s="10"/>
      <c r="CZ592" s="10"/>
      <c r="DA592" s="10"/>
      <c r="DB592" s="10"/>
      <c r="DC592" s="10"/>
      <c r="DD592" s="10"/>
      <c r="DE592" s="10"/>
      <c r="DF592" s="10"/>
      <c r="DG592" s="10"/>
      <c r="DH592" s="10"/>
      <c r="DI592" s="10"/>
      <c r="DJ592" s="10"/>
      <c r="DK592" s="10"/>
      <c r="DL592" s="10"/>
      <c r="DM592" s="10"/>
      <c r="DN592" s="10"/>
      <c r="DO592" s="10"/>
      <c r="DP592" s="10"/>
    </row>
    <row r="593" spans="3:120" x14ac:dyDescent="0.25">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c r="BF593" s="10"/>
      <c r="BG593" s="10"/>
      <c r="BH593" s="10"/>
      <c r="BI593" s="10"/>
      <c r="BJ593" s="10"/>
      <c r="BK593" s="10"/>
      <c r="BL593" s="10"/>
      <c r="BM593" s="10"/>
      <c r="BN593" s="10"/>
      <c r="BO593" s="10"/>
      <c r="BP593" s="10"/>
      <c r="BQ593" s="10"/>
      <c r="BR593" s="10"/>
      <c r="BS593" s="10"/>
      <c r="BT593" s="10"/>
      <c r="BU593" s="10"/>
      <c r="BV593" s="10"/>
      <c r="BW593" s="10"/>
      <c r="BX593" s="10"/>
      <c r="BY593" s="10"/>
      <c r="BZ593" s="10"/>
      <c r="CA593" s="10"/>
      <c r="CB593" s="10"/>
      <c r="CC593" s="10"/>
      <c r="CD593" s="10"/>
      <c r="CE593" s="10"/>
      <c r="CF593" s="10"/>
      <c r="CG593" s="10"/>
      <c r="CH593" s="10"/>
      <c r="CI593" s="10"/>
      <c r="CJ593" s="10"/>
      <c r="CK593" s="10"/>
      <c r="CL593" s="10"/>
      <c r="CM593" s="10"/>
      <c r="CN593" s="10"/>
      <c r="CO593" s="10"/>
      <c r="CP593" s="10"/>
      <c r="CQ593" s="10"/>
      <c r="CR593" s="10"/>
      <c r="CS593" s="10"/>
      <c r="CT593" s="10"/>
      <c r="CU593" s="10"/>
      <c r="CV593" s="10"/>
      <c r="CW593" s="10"/>
      <c r="CX593" s="10"/>
      <c r="CY593" s="10"/>
      <c r="CZ593" s="10"/>
      <c r="DA593" s="10"/>
      <c r="DB593" s="10"/>
      <c r="DC593" s="10"/>
      <c r="DD593" s="10"/>
      <c r="DE593" s="10"/>
      <c r="DF593" s="10"/>
      <c r="DG593" s="10"/>
      <c r="DH593" s="10"/>
      <c r="DI593" s="10"/>
      <c r="DJ593" s="10"/>
      <c r="DK593" s="10"/>
      <c r="DL593" s="10"/>
      <c r="DM593" s="10"/>
      <c r="DN593" s="10"/>
      <c r="DO593" s="10"/>
      <c r="DP593" s="10"/>
    </row>
    <row r="594" spans="3:120" x14ac:dyDescent="0.25">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10"/>
      <c r="BM594" s="10"/>
      <c r="BN594" s="10"/>
      <c r="BO594" s="10"/>
      <c r="BP594" s="10"/>
      <c r="BQ594" s="10"/>
      <c r="BR594" s="10"/>
      <c r="BS594" s="10"/>
      <c r="BT594" s="10"/>
      <c r="BU594" s="10"/>
      <c r="BV594" s="10"/>
      <c r="BW594" s="10"/>
      <c r="BX594" s="10"/>
      <c r="BY594" s="10"/>
      <c r="BZ594" s="10"/>
      <c r="CA594" s="10"/>
      <c r="CB594" s="10"/>
      <c r="CC594" s="10"/>
      <c r="CD594" s="10"/>
      <c r="CE594" s="10"/>
      <c r="CF594" s="10"/>
      <c r="CG594" s="10"/>
      <c r="CH594" s="10"/>
      <c r="CI594" s="10"/>
      <c r="CJ594" s="10"/>
      <c r="CK594" s="10"/>
      <c r="CL594" s="10"/>
      <c r="CM594" s="10"/>
      <c r="CN594" s="10"/>
      <c r="CO594" s="10"/>
      <c r="CP594" s="10"/>
      <c r="CQ594" s="10"/>
      <c r="CR594" s="10"/>
      <c r="CS594" s="10"/>
      <c r="CT594" s="10"/>
      <c r="CU594" s="10"/>
      <c r="CV594" s="10"/>
      <c r="CW594" s="10"/>
      <c r="CX594" s="10"/>
      <c r="CY594" s="10"/>
      <c r="CZ594" s="10"/>
      <c r="DA594" s="10"/>
      <c r="DB594" s="10"/>
      <c r="DC594" s="10"/>
      <c r="DD594" s="10"/>
      <c r="DE594" s="10"/>
      <c r="DF594" s="10"/>
      <c r="DG594" s="10"/>
      <c r="DH594" s="10"/>
      <c r="DI594" s="10"/>
      <c r="DJ594" s="10"/>
      <c r="DK594" s="10"/>
      <c r="DL594" s="10"/>
      <c r="DM594" s="10"/>
      <c r="DN594" s="10"/>
      <c r="DO594" s="10"/>
      <c r="DP594" s="10"/>
    </row>
    <row r="595" spans="3:120" x14ac:dyDescent="0.25">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0"/>
      <c r="BI595" s="10"/>
      <c r="BJ595" s="10"/>
      <c r="BK595" s="10"/>
      <c r="BL595" s="10"/>
      <c r="BM595" s="10"/>
      <c r="BN595" s="10"/>
      <c r="BO595" s="10"/>
      <c r="BP595" s="10"/>
      <c r="BQ595" s="10"/>
      <c r="BR595" s="10"/>
      <c r="BS595" s="10"/>
      <c r="BT595" s="10"/>
      <c r="BU595" s="10"/>
      <c r="BV595" s="10"/>
      <c r="BW595" s="10"/>
      <c r="BX595" s="10"/>
      <c r="BY595" s="10"/>
      <c r="BZ595" s="10"/>
      <c r="CA595" s="10"/>
      <c r="CB595" s="10"/>
      <c r="CC595" s="10"/>
      <c r="CD595" s="10"/>
      <c r="CE595" s="10"/>
      <c r="CF595" s="10"/>
      <c r="CG595" s="10"/>
      <c r="CH595" s="10"/>
      <c r="CI595" s="10"/>
      <c r="CJ595" s="10"/>
      <c r="CK595" s="10"/>
      <c r="CL595" s="10"/>
      <c r="CM595" s="10"/>
      <c r="CN595" s="10"/>
      <c r="CO595" s="10"/>
      <c r="CP595" s="10"/>
      <c r="CQ595" s="10"/>
      <c r="CR595" s="10"/>
      <c r="CS595" s="10"/>
      <c r="CT595" s="10"/>
      <c r="CU595" s="10"/>
      <c r="CV595" s="10"/>
      <c r="CW595" s="10"/>
      <c r="CX595" s="10"/>
      <c r="CY595" s="10"/>
      <c r="CZ595" s="10"/>
      <c r="DA595" s="10"/>
      <c r="DB595" s="10"/>
      <c r="DC595" s="10"/>
      <c r="DD595" s="10"/>
      <c r="DE595" s="10"/>
      <c r="DF595" s="10"/>
      <c r="DG595" s="10"/>
      <c r="DH595" s="10"/>
      <c r="DI595" s="10"/>
      <c r="DJ595" s="10"/>
      <c r="DK595" s="10"/>
      <c r="DL595" s="10"/>
      <c r="DM595" s="10"/>
      <c r="DN595" s="10"/>
      <c r="DO595" s="10"/>
      <c r="DP595" s="10"/>
    </row>
    <row r="596" spans="3:120" x14ac:dyDescent="0.25">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c r="BG596" s="10"/>
      <c r="BH596" s="10"/>
      <c r="BI596" s="10"/>
      <c r="BJ596" s="10"/>
      <c r="BK596" s="10"/>
      <c r="BL596" s="10"/>
      <c r="BM596" s="10"/>
      <c r="BN596" s="10"/>
      <c r="BO596" s="10"/>
      <c r="BP596" s="10"/>
      <c r="BQ596" s="10"/>
      <c r="BR596" s="10"/>
      <c r="BS596" s="10"/>
      <c r="BT596" s="10"/>
      <c r="BU596" s="10"/>
      <c r="BV596" s="10"/>
      <c r="BW596" s="10"/>
      <c r="BX596" s="10"/>
      <c r="BY596" s="10"/>
      <c r="BZ596" s="10"/>
      <c r="CA596" s="10"/>
      <c r="CB596" s="10"/>
      <c r="CC596" s="10"/>
      <c r="CD596" s="10"/>
      <c r="CE596" s="10"/>
      <c r="CF596" s="10"/>
      <c r="CG596" s="10"/>
      <c r="CH596" s="10"/>
      <c r="CI596" s="10"/>
      <c r="CJ596" s="10"/>
      <c r="CK596" s="10"/>
      <c r="CL596" s="10"/>
      <c r="CM596" s="10"/>
      <c r="CN596" s="10"/>
      <c r="CO596" s="10"/>
      <c r="CP596" s="10"/>
      <c r="CQ596" s="10"/>
      <c r="CR596" s="10"/>
      <c r="CS596" s="10"/>
      <c r="CT596" s="10"/>
      <c r="CU596" s="10"/>
      <c r="CV596" s="10"/>
      <c r="CW596" s="10"/>
      <c r="CX596" s="10"/>
      <c r="CY596" s="10"/>
      <c r="CZ596" s="10"/>
      <c r="DA596" s="10"/>
      <c r="DB596" s="10"/>
      <c r="DC596" s="10"/>
      <c r="DD596" s="10"/>
      <c r="DE596" s="10"/>
      <c r="DF596" s="10"/>
      <c r="DG596" s="10"/>
      <c r="DH596" s="10"/>
      <c r="DI596" s="10"/>
      <c r="DJ596" s="10"/>
      <c r="DK596" s="10"/>
      <c r="DL596" s="10"/>
      <c r="DM596" s="10"/>
      <c r="DN596" s="10"/>
      <c r="DO596" s="10"/>
      <c r="DP596" s="10"/>
    </row>
    <row r="597" spans="3:120" x14ac:dyDescent="0.25">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10"/>
      <c r="BM597" s="10"/>
      <c r="BN597" s="10"/>
      <c r="BO597" s="10"/>
      <c r="BP597" s="10"/>
      <c r="BQ597" s="10"/>
      <c r="BR597" s="10"/>
      <c r="BS597" s="10"/>
      <c r="BT597" s="10"/>
      <c r="BU597" s="10"/>
      <c r="BV597" s="10"/>
      <c r="BW597" s="10"/>
      <c r="BX597" s="10"/>
      <c r="BY597" s="10"/>
      <c r="BZ597" s="10"/>
      <c r="CA597" s="10"/>
      <c r="CB597" s="10"/>
      <c r="CC597" s="10"/>
      <c r="CD597" s="10"/>
      <c r="CE597" s="10"/>
      <c r="CF597" s="10"/>
      <c r="CG597" s="10"/>
      <c r="CH597" s="10"/>
      <c r="CI597" s="10"/>
      <c r="CJ597" s="10"/>
      <c r="CK597" s="10"/>
      <c r="CL597" s="10"/>
      <c r="CM597" s="10"/>
      <c r="CN597" s="10"/>
      <c r="CO597" s="10"/>
      <c r="CP597" s="10"/>
      <c r="CQ597" s="10"/>
      <c r="CR597" s="10"/>
      <c r="CS597" s="10"/>
      <c r="CT597" s="10"/>
      <c r="CU597" s="10"/>
      <c r="CV597" s="10"/>
      <c r="CW597" s="10"/>
      <c r="CX597" s="10"/>
      <c r="CY597" s="10"/>
      <c r="CZ597" s="10"/>
      <c r="DA597" s="10"/>
      <c r="DB597" s="10"/>
      <c r="DC597" s="10"/>
      <c r="DD597" s="10"/>
      <c r="DE597" s="10"/>
      <c r="DF597" s="10"/>
      <c r="DG597" s="10"/>
      <c r="DH597" s="10"/>
      <c r="DI597" s="10"/>
      <c r="DJ597" s="10"/>
      <c r="DK597" s="10"/>
      <c r="DL597" s="10"/>
      <c r="DM597" s="10"/>
      <c r="DN597" s="10"/>
      <c r="DO597" s="10"/>
      <c r="DP597" s="10"/>
    </row>
    <row r="598" spans="3:120" x14ac:dyDescent="0.25">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c r="BG598" s="10"/>
      <c r="BH598" s="10"/>
      <c r="BI598" s="10"/>
      <c r="BJ598" s="10"/>
      <c r="BK598" s="10"/>
      <c r="BL598" s="10"/>
      <c r="BM598" s="10"/>
      <c r="BN598" s="10"/>
      <c r="BO598" s="10"/>
      <c r="BP598" s="10"/>
      <c r="BQ598" s="10"/>
      <c r="BR598" s="10"/>
      <c r="BS598" s="10"/>
      <c r="BT598" s="10"/>
      <c r="BU598" s="10"/>
      <c r="BV598" s="10"/>
      <c r="BW598" s="10"/>
      <c r="BX598" s="10"/>
      <c r="BY598" s="10"/>
      <c r="BZ598" s="10"/>
      <c r="CA598" s="10"/>
      <c r="CB598" s="10"/>
      <c r="CC598" s="10"/>
      <c r="CD598" s="10"/>
      <c r="CE598" s="10"/>
      <c r="CF598" s="10"/>
      <c r="CG598" s="10"/>
      <c r="CH598" s="10"/>
      <c r="CI598" s="10"/>
      <c r="CJ598" s="10"/>
      <c r="CK598" s="10"/>
      <c r="CL598" s="10"/>
      <c r="CM598" s="10"/>
      <c r="CN598" s="10"/>
      <c r="CO598" s="10"/>
      <c r="CP598" s="10"/>
      <c r="CQ598" s="10"/>
      <c r="CR598" s="10"/>
      <c r="CS598" s="10"/>
      <c r="CT598" s="10"/>
      <c r="CU598" s="10"/>
      <c r="CV598" s="10"/>
      <c r="CW598" s="10"/>
      <c r="CX598" s="10"/>
      <c r="CY598" s="10"/>
      <c r="CZ598" s="10"/>
      <c r="DA598" s="10"/>
      <c r="DB598" s="10"/>
      <c r="DC598" s="10"/>
      <c r="DD598" s="10"/>
      <c r="DE598" s="10"/>
      <c r="DF598" s="10"/>
      <c r="DG598" s="10"/>
      <c r="DH598" s="10"/>
      <c r="DI598" s="10"/>
      <c r="DJ598" s="10"/>
      <c r="DK598" s="10"/>
      <c r="DL598" s="10"/>
      <c r="DM598" s="10"/>
      <c r="DN598" s="10"/>
      <c r="DO598" s="10"/>
      <c r="DP598" s="10"/>
    </row>
    <row r="599" spans="3:120" x14ac:dyDescent="0.25">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c r="BG599" s="10"/>
      <c r="BH599" s="10"/>
      <c r="BI599" s="10"/>
      <c r="BJ599" s="10"/>
      <c r="BK599" s="10"/>
      <c r="BL599" s="10"/>
      <c r="BM599" s="10"/>
      <c r="BN599" s="10"/>
      <c r="BO599" s="10"/>
      <c r="BP599" s="10"/>
      <c r="BQ599" s="10"/>
      <c r="BR599" s="10"/>
      <c r="BS599" s="10"/>
      <c r="BT599" s="10"/>
      <c r="BU599" s="10"/>
      <c r="BV599" s="10"/>
      <c r="BW599" s="10"/>
      <c r="BX599" s="10"/>
      <c r="BY599" s="10"/>
      <c r="BZ599" s="10"/>
      <c r="CA599" s="10"/>
      <c r="CB599" s="10"/>
      <c r="CC599" s="10"/>
      <c r="CD599" s="10"/>
      <c r="CE599" s="10"/>
      <c r="CF599" s="10"/>
      <c r="CG599" s="10"/>
      <c r="CH599" s="10"/>
      <c r="CI599" s="10"/>
      <c r="CJ599" s="10"/>
      <c r="CK599" s="10"/>
      <c r="CL599" s="10"/>
      <c r="CM599" s="10"/>
      <c r="CN599" s="10"/>
      <c r="CO599" s="10"/>
      <c r="CP599" s="10"/>
      <c r="CQ599" s="10"/>
      <c r="CR599" s="10"/>
      <c r="CS599" s="10"/>
      <c r="CT599" s="10"/>
      <c r="CU599" s="10"/>
      <c r="CV599" s="10"/>
      <c r="CW599" s="10"/>
      <c r="CX599" s="10"/>
      <c r="CY599" s="10"/>
      <c r="CZ599" s="10"/>
      <c r="DA599" s="10"/>
      <c r="DB599" s="10"/>
      <c r="DC599" s="10"/>
      <c r="DD599" s="10"/>
      <c r="DE599" s="10"/>
      <c r="DF599" s="10"/>
      <c r="DG599" s="10"/>
      <c r="DH599" s="10"/>
      <c r="DI599" s="10"/>
      <c r="DJ599" s="10"/>
      <c r="DK599" s="10"/>
      <c r="DL599" s="10"/>
      <c r="DM599" s="10"/>
      <c r="DN599" s="10"/>
      <c r="DO599" s="10"/>
      <c r="DP599" s="10"/>
    </row>
    <row r="600" spans="3:120" x14ac:dyDescent="0.25">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c r="BG600" s="10"/>
      <c r="BH600" s="10"/>
      <c r="BI600" s="10"/>
      <c r="BJ600" s="10"/>
      <c r="BK600" s="10"/>
      <c r="BL600" s="10"/>
      <c r="BM600" s="10"/>
      <c r="BN600" s="10"/>
      <c r="BO600" s="10"/>
      <c r="BP600" s="10"/>
      <c r="BQ600" s="10"/>
      <c r="BR600" s="10"/>
      <c r="BS600" s="10"/>
      <c r="BT600" s="10"/>
      <c r="BU600" s="10"/>
      <c r="BV600" s="10"/>
      <c r="BW600" s="10"/>
      <c r="BX600" s="10"/>
      <c r="BY600" s="10"/>
      <c r="BZ600" s="10"/>
      <c r="CA600" s="10"/>
      <c r="CB600" s="10"/>
      <c r="CC600" s="10"/>
      <c r="CD600" s="10"/>
      <c r="CE600" s="10"/>
      <c r="CF600" s="10"/>
      <c r="CG600" s="10"/>
      <c r="CH600" s="10"/>
      <c r="CI600" s="10"/>
      <c r="CJ600" s="10"/>
      <c r="CK600" s="10"/>
      <c r="CL600" s="10"/>
      <c r="CM600" s="10"/>
      <c r="CN600" s="10"/>
      <c r="CO600" s="10"/>
      <c r="CP600" s="10"/>
      <c r="CQ600" s="10"/>
      <c r="CR600" s="10"/>
      <c r="CS600" s="10"/>
      <c r="CT600" s="10"/>
      <c r="CU600" s="10"/>
      <c r="CV600" s="10"/>
      <c r="CW600" s="10"/>
      <c r="CX600" s="10"/>
      <c r="CY600" s="10"/>
      <c r="CZ600" s="10"/>
      <c r="DA600" s="10"/>
      <c r="DB600" s="10"/>
      <c r="DC600" s="10"/>
      <c r="DD600" s="10"/>
      <c r="DE600" s="10"/>
      <c r="DF600" s="10"/>
      <c r="DG600" s="10"/>
      <c r="DH600" s="10"/>
      <c r="DI600" s="10"/>
      <c r="DJ600" s="10"/>
      <c r="DK600" s="10"/>
      <c r="DL600" s="10"/>
      <c r="DM600" s="10"/>
      <c r="DN600" s="10"/>
      <c r="DO600" s="10"/>
      <c r="DP600" s="10"/>
    </row>
    <row r="601" spans="3:120" x14ac:dyDescent="0.25">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c r="BF601" s="10"/>
      <c r="BG601" s="10"/>
      <c r="BH601" s="10"/>
      <c r="BI601" s="10"/>
      <c r="BJ601" s="10"/>
      <c r="BK601" s="10"/>
      <c r="BL601" s="10"/>
      <c r="BM601" s="10"/>
      <c r="BN601" s="10"/>
      <c r="BO601" s="10"/>
      <c r="BP601" s="10"/>
      <c r="BQ601" s="10"/>
      <c r="BR601" s="10"/>
      <c r="BS601" s="10"/>
      <c r="BT601" s="10"/>
      <c r="BU601" s="10"/>
      <c r="BV601" s="10"/>
      <c r="BW601" s="10"/>
      <c r="BX601" s="10"/>
      <c r="BY601" s="10"/>
      <c r="BZ601" s="10"/>
      <c r="CA601" s="10"/>
      <c r="CB601" s="10"/>
      <c r="CC601" s="10"/>
      <c r="CD601" s="10"/>
      <c r="CE601" s="10"/>
      <c r="CF601" s="10"/>
      <c r="CG601" s="10"/>
      <c r="CH601" s="10"/>
      <c r="CI601" s="10"/>
      <c r="CJ601" s="10"/>
      <c r="CK601" s="10"/>
      <c r="CL601" s="10"/>
      <c r="CM601" s="10"/>
      <c r="CN601" s="10"/>
      <c r="CO601" s="10"/>
      <c r="CP601" s="10"/>
      <c r="CQ601" s="10"/>
      <c r="CR601" s="10"/>
      <c r="CS601" s="10"/>
      <c r="CT601" s="10"/>
      <c r="CU601" s="10"/>
      <c r="CV601" s="10"/>
      <c r="CW601" s="10"/>
      <c r="CX601" s="10"/>
      <c r="CY601" s="10"/>
      <c r="CZ601" s="10"/>
      <c r="DA601" s="10"/>
      <c r="DB601" s="10"/>
      <c r="DC601" s="10"/>
      <c r="DD601" s="10"/>
      <c r="DE601" s="10"/>
      <c r="DF601" s="10"/>
      <c r="DG601" s="10"/>
      <c r="DH601" s="10"/>
      <c r="DI601" s="10"/>
      <c r="DJ601" s="10"/>
      <c r="DK601" s="10"/>
      <c r="DL601" s="10"/>
      <c r="DM601" s="10"/>
      <c r="DN601" s="10"/>
      <c r="DO601" s="10"/>
      <c r="DP601" s="10"/>
    </row>
    <row r="602" spans="3:120" x14ac:dyDescent="0.25">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c r="BG602" s="10"/>
      <c r="BH602" s="10"/>
      <c r="BI602" s="10"/>
      <c r="BJ602" s="10"/>
      <c r="BK602" s="10"/>
      <c r="BL602" s="10"/>
      <c r="BM602" s="10"/>
      <c r="BN602" s="10"/>
      <c r="BO602" s="10"/>
      <c r="BP602" s="10"/>
      <c r="BQ602" s="10"/>
      <c r="BR602" s="10"/>
      <c r="BS602" s="10"/>
      <c r="BT602" s="10"/>
      <c r="BU602" s="10"/>
      <c r="BV602" s="10"/>
      <c r="BW602" s="10"/>
      <c r="BX602" s="10"/>
      <c r="BY602" s="10"/>
      <c r="BZ602" s="10"/>
      <c r="CA602" s="10"/>
      <c r="CB602" s="10"/>
      <c r="CC602" s="10"/>
      <c r="CD602" s="10"/>
      <c r="CE602" s="10"/>
      <c r="CF602" s="10"/>
      <c r="CG602" s="10"/>
      <c r="CH602" s="10"/>
      <c r="CI602" s="10"/>
      <c r="CJ602" s="10"/>
      <c r="CK602" s="10"/>
      <c r="CL602" s="10"/>
      <c r="CM602" s="10"/>
      <c r="CN602" s="10"/>
      <c r="CO602" s="10"/>
      <c r="CP602" s="10"/>
      <c r="CQ602" s="10"/>
      <c r="CR602" s="10"/>
      <c r="CS602" s="10"/>
      <c r="CT602" s="10"/>
      <c r="CU602" s="10"/>
      <c r="CV602" s="10"/>
      <c r="CW602" s="10"/>
      <c r="CX602" s="10"/>
      <c r="CY602" s="10"/>
      <c r="CZ602" s="10"/>
      <c r="DA602" s="10"/>
      <c r="DB602" s="10"/>
      <c r="DC602" s="10"/>
      <c r="DD602" s="10"/>
      <c r="DE602" s="10"/>
      <c r="DF602" s="10"/>
      <c r="DG602" s="10"/>
      <c r="DH602" s="10"/>
      <c r="DI602" s="10"/>
      <c r="DJ602" s="10"/>
      <c r="DK602" s="10"/>
      <c r="DL602" s="10"/>
      <c r="DM602" s="10"/>
      <c r="DN602" s="10"/>
      <c r="DO602" s="10"/>
      <c r="DP602" s="10"/>
    </row>
    <row r="603" spans="3:120" x14ac:dyDescent="0.25">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c r="BF603" s="10"/>
      <c r="BG603" s="10"/>
      <c r="BH603" s="10"/>
      <c r="BI603" s="10"/>
      <c r="BJ603" s="10"/>
      <c r="BK603" s="10"/>
      <c r="BL603" s="10"/>
      <c r="BM603" s="10"/>
      <c r="BN603" s="10"/>
      <c r="BO603" s="10"/>
      <c r="BP603" s="10"/>
      <c r="BQ603" s="10"/>
      <c r="BR603" s="10"/>
      <c r="BS603" s="10"/>
      <c r="BT603" s="10"/>
      <c r="BU603" s="10"/>
      <c r="BV603" s="10"/>
      <c r="BW603" s="10"/>
      <c r="BX603" s="10"/>
      <c r="BY603" s="10"/>
      <c r="BZ603" s="10"/>
      <c r="CA603" s="10"/>
      <c r="CB603" s="10"/>
      <c r="CC603" s="10"/>
      <c r="CD603" s="10"/>
      <c r="CE603" s="10"/>
      <c r="CF603" s="10"/>
      <c r="CG603" s="10"/>
      <c r="CH603" s="10"/>
      <c r="CI603" s="10"/>
      <c r="CJ603" s="10"/>
      <c r="CK603" s="10"/>
      <c r="CL603" s="10"/>
      <c r="CM603" s="10"/>
      <c r="CN603" s="10"/>
      <c r="CO603" s="10"/>
      <c r="CP603" s="10"/>
      <c r="CQ603" s="10"/>
      <c r="CR603" s="10"/>
      <c r="CS603" s="10"/>
      <c r="CT603" s="10"/>
      <c r="CU603" s="10"/>
      <c r="CV603" s="10"/>
      <c r="CW603" s="10"/>
      <c r="CX603" s="10"/>
      <c r="CY603" s="10"/>
      <c r="CZ603" s="10"/>
      <c r="DA603" s="10"/>
      <c r="DB603" s="10"/>
      <c r="DC603" s="10"/>
      <c r="DD603" s="10"/>
      <c r="DE603" s="10"/>
      <c r="DF603" s="10"/>
      <c r="DG603" s="10"/>
      <c r="DH603" s="10"/>
      <c r="DI603" s="10"/>
      <c r="DJ603" s="10"/>
      <c r="DK603" s="10"/>
      <c r="DL603" s="10"/>
      <c r="DM603" s="10"/>
      <c r="DN603" s="10"/>
      <c r="DO603" s="10"/>
      <c r="DP603" s="10"/>
    </row>
    <row r="604" spans="3:120" x14ac:dyDescent="0.25">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c r="BF604" s="10"/>
      <c r="BG604" s="10"/>
      <c r="BH604" s="10"/>
      <c r="BI604" s="10"/>
      <c r="BJ604" s="10"/>
      <c r="BK604" s="10"/>
      <c r="BL604" s="10"/>
      <c r="BM604" s="10"/>
      <c r="BN604" s="10"/>
      <c r="BO604" s="10"/>
      <c r="BP604" s="10"/>
      <c r="BQ604" s="10"/>
      <c r="BR604" s="10"/>
      <c r="BS604" s="10"/>
      <c r="BT604" s="10"/>
      <c r="BU604" s="10"/>
      <c r="BV604" s="10"/>
      <c r="BW604" s="10"/>
      <c r="BX604" s="10"/>
      <c r="BY604" s="10"/>
      <c r="BZ604" s="10"/>
      <c r="CA604" s="10"/>
      <c r="CB604" s="10"/>
      <c r="CC604" s="10"/>
      <c r="CD604" s="10"/>
      <c r="CE604" s="10"/>
      <c r="CF604" s="10"/>
      <c r="CG604" s="10"/>
      <c r="CH604" s="10"/>
      <c r="CI604" s="10"/>
      <c r="CJ604" s="10"/>
      <c r="CK604" s="10"/>
      <c r="CL604" s="10"/>
      <c r="CM604" s="10"/>
      <c r="CN604" s="10"/>
      <c r="CO604" s="10"/>
      <c r="CP604" s="10"/>
      <c r="CQ604" s="10"/>
      <c r="CR604" s="10"/>
      <c r="CS604" s="10"/>
      <c r="CT604" s="10"/>
      <c r="CU604" s="10"/>
      <c r="CV604" s="10"/>
      <c r="CW604" s="10"/>
      <c r="CX604" s="10"/>
      <c r="CY604" s="10"/>
      <c r="CZ604" s="10"/>
      <c r="DA604" s="10"/>
      <c r="DB604" s="10"/>
      <c r="DC604" s="10"/>
      <c r="DD604" s="10"/>
      <c r="DE604" s="10"/>
      <c r="DF604" s="10"/>
      <c r="DG604" s="10"/>
      <c r="DH604" s="10"/>
      <c r="DI604" s="10"/>
      <c r="DJ604" s="10"/>
      <c r="DK604" s="10"/>
      <c r="DL604" s="10"/>
      <c r="DM604" s="10"/>
      <c r="DN604" s="10"/>
      <c r="DO604" s="10"/>
      <c r="DP604" s="10"/>
    </row>
    <row r="605" spans="3:120" x14ac:dyDescent="0.25">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c r="BF605" s="10"/>
      <c r="BG605" s="10"/>
      <c r="BH605" s="10"/>
      <c r="BI605" s="10"/>
      <c r="BJ605" s="10"/>
      <c r="BK605" s="10"/>
      <c r="BL605" s="10"/>
      <c r="BM605" s="10"/>
      <c r="BN605" s="10"/>
      <c r="BO605" s="10"/>
      <c r="BP605" s="10"/>
      <c r="BQ605" s="10"/>
      <c r="BR605" s="10"/>
      <c r="BS605" s="10"/>
      <c r="BT605" s="10"/>
      <c r="BU605" s="10"/>
      <c r="BV605" s="10"/>
      <c r="BW605" s="10"/>
      <c r="BX605" s="10"/>
      <c r="BY605" s="10"/>
      <c r="BZ605" s="10"/>
      <c r="CA605" s="10"/>
      <c r="CB605" s="10"/>
      <c r="CC605" s="10"/>
      <c r="CD605" s="10"/>
      <c r="CE605" s="10"/>
      <c r="CF605" s="10"/>
      <c r="CG605" s="10"/>
      <c r="CH605" s="10"/>
      <c r="CI605" s="10"/>
      <c r="CJ605" s="10"/>
      <c r="CK605" s="10"/>
      <c r="CL605" s="10"/>
      <c r="CM605" s="10"/>
      <c r="CN605" s="10"/>
      <c r="CO605" s="10"/>
      <c r="CP605" s="10"/>
      <c r="CQ605" s="10"/>
      <c r="CR605" s="10"/>
      <c r="CS605" s="10"/>
      <c r="CT605" s="10"/>
      <c r="CU605" s="10"/>
      <c r="CV605" s="10"/>
      <c r="CW605" s="10"/>
      <c r="CX605" s="10"/>
      <c r="CY605" s="10"/>
      <c r="CZ605" s="10"/>
      <c r="DA605" s="10"/>
      <c r="DB605" s="10"/>
      <c r="DC605" s="10"/>
      <c r="DD605" s="10"/>
      <c r="DE605" s="10"/>
      <c r="DF605" s="10"/>
      <c r="DG605" s="10"/>
      <c r="DH605" s="10"/>
      <c r="DI605" s="10"/>
      <c r="DJ605" s="10"/>
      <c r="DK605" s="10"/>
      <c r="DL605" s="10"/>
      <c r="DM605" s="10"/>
      <c r="DN605" s="10"/>
      <c r="DO605" s="10"/>
      <c r="DP605" s="10"/>
    </row>
    <row r="606" spans="3:120" x14ac:dyDescent="0.25">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c r="BF606" s="10"/>
      <c r="BG606" s="10"/>
      <c r="BH606" s="10"/>
      <c r="BI606" s="10"/>
      <c r="BJ606" s="10"/>
      <c r="BK606" s="10"/>
      <c r="BL606" s="10"/>
      <c r="BM606" s="10"/>
      <c r="BN606" s="10"/>
      <c r="BO606" s="10"/>
      <c r="BP606" s="10"/>
      <c r="BQ606" s="10"/>
      <c r="BR606" s="10"/>
      <c r="BS606" s="10"/>
      <c r="BT606" s="10"/>
      <c r="BU606" s="10"/>
      <c r="BV606" s="10"/>
      <c r="BW606" s="10"/>
      <c r="BX606" s="10"/>
      <c r="BY606" s="10"/>
      <c r="BZ606" s="10"/>
      <c r="CA606" s="10"/>
      <c r="CB606" s="10"/>
      <c r="CC606" s="10"/>
      <c r="CD606" s="10"/>
      <c r="CE606" s="10"/>
      <c r="CF606" s="10"/>
      <c r="CG606" s="10"/>
      <c r="CH606" s="10"/>
      <c r="CI606" s="10"/>
      <c r="CJ606" s="10"/>
      <c r="CK606" s="10"/>
      <c r="CL606" s="10"/>
      <c r="CM606" s="10"/>
      <c r="CN606" s="10"/>
      <c r="CO606" s="10"/>
      <c r="CP606" s="10"/>
      <c r="CQ606" s="10"/>
      <c r="CR606" s="10"/>
      <c r="CS606" s="10"/>
      <c r="CT606" s="10"/>
      <c r="CU606" s="10"/>
      <c r="CV606" s="10"/>
      <c r="CW606" s="10"/>
      <c r="CX606" s="10"/>
      <c r="CY606" s="10"/>
      <c r="CZ606" s="10"/>
      <c r="DA606" s="10"/>
      <c r="DB606" s="10"/>
      <c r="DC606" s="10"/>
      <c r="DD606" s="10"/>
      <c r="DE606" s="10"/>
      <c r="DF606" s="10"/>
      <c r="DG606" s="10"/>
      <c r="DH606" s="10"/>
      <c r="DI606" s="10"/>
      <c r="DJ606" s="10"/>
      <c r="DK606" s="10"/>
      <c r="DL606" s="10"/>
      <c r="DM606" s="10"/>
      <c r="DN606" s="10"/>
      <c r="DO606" s="10"/>
      <c r="DP606" s="10"/>
    </row>
    <row r="607" spans="3:120" x14ac:dyDescent="0.25">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c r="BG607" s="10"/>
      <c r="BH607" s="10"/>
      <c r="BI607" s="10"/>
      <c r="BJ607" s="10"/>
      <c r="BK607" s="10"/>
      <c r="BL607" s="10"/>
      <c r="BM607" s="10"/>
      <c r="BN607" s="10"/>
      <c r="BO607" s="10"/>
      <c r="BP607" s="10"/>
      <c r="BQ607" s="10"/>
      <c r="BR607" s="10"/>
      <c r="BS607" s="10"/>
      <c r="BT607" s="10"/>
      <c r="BU607" s="10"/>
      <c r="BV607" s="10"/>
      <c r="BW607" s="10"/>
      <c r="BX607" s="10"/>
      <c r="BY607" s="10"/>
      <c r="BZ607" s="10"/>
      <c r="CA607" s="10"/>
      <c r="CB607" s="10"/>
      <c r="CC607" s="10"/>
      <c r="CD607" s="10"/>
      <c r="CE607" s="10"/>
      <c r="CF607" s="10"/>
      <c r="CG607" s="10"/>
      <c r="CH607" s="10"/>
      <c r="CI607" s="10"/>
      <c r="CJ607" s="10"/>
      <c r="CK607" s="10"/>
      <c r="CL607" s="10"/>
      <c r="CM607" s="10"/>
      <c r="CN607" s="10"/>
      <c r="CO607" s="10"/>
      <c r="CP607" s="10"/>
      <c r="CQ607" s="10"/>
      <c r="CR607" s="10"/>
      <c r="CS607" s="10"/>
      <c r="CT607" s="10"/>
      <c r="CU607" s="10"/>
      <c r="CV607" s="10"/>
      <c r="CW607" s="10"/>
      <c r="CX607" s="10"/>
      <c r="CY607" s="10"/>
      <c r="CZ607" s="10"/>
      <c r="DA607" s="10"/>
      <c r="DB607" s="10"/>
      <c r="DC607" s="10"/>
      <c r="DD607" s="10"/>
      <c r="DE607" s="10"/>
      <c r="DF607" s="10"/>
      <c r="DG607" s="10"/>
      <c r="DH607" s="10"/>
      <c r="DI607" s="10"/>
      <c r="DJ607" s="10"/>
      <c r="DK607" s="10"/>
      <c r="DL607" s="10"/>
      <c r="DM607" s="10"/>
      <c r="DN607" s="10"/>
      <c r="DO607" s="10"/>
      <c r="DP607" s="10"/>
    </row>
    <row r="608" spans="3:120" x14ac:dyDescent="0.25">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c r="BF608" s="10"/>
      <c r="BG608" s="10"/>
      <c r="BH608" s="10"/>
      <c r="BI608" s="10"/>
      <c r="BJ608" s="10"/>
      <c r="BK608" s="10"/>
      <c r="BL608" s="10"/>
      <c r="BM608" s="10"/>
      <c r="BN608" s="10"/>
      <c r="BO608" s="10"/>
      <c r="BP608" s="10"/>
      <c r="BQ608" s="10"/>
      <c r="BR608" s="10"/>
      <c r="BS608" s="10"/>
      <c r="BT608" s="10"/>
      <c r="BU608" s="10"/>
      <c r="BV608" s="10"/>
      <c r="BW608" s="10"/>
      <c r="BX608" s="10"/>
      <c r="BY608" s="10"/>
      <c r="BZ608" s="10"/>
      <c r="CA608" s="10"/>
      <c r="CB608" s="10"/>
      <c r="CC608" s="10"/>
      <c r="CD608" s="10"/>
      <c r="CE608" s="10"/>
      <c r="CF608" s="10"/>
      <c r="CG608" s="10"/>
      <c r="CH608" s="10"/>
      <c r="CI608" s="10"/>
      <c r="CJ608" s="10"/>
      <c r="CK608" s="10"/>
      <c r="CL608" s="10"/>
      <c r="CM608" s="10"/>
      <c r="CN608" s="10"/>
      <c r="CO608" s="10"/>
      <c r="CP608" s="10"/>
      <c r="CQ608" s="10"/>
      <c r="CR608" s="10"/>
      <c r="CS608" s="10"/>
      <c r="CT608" s="10"/>
      <c r="CU608" s="10"/>
      <c r="CV608" s="10"/>
      <c r="CW608" s="10"/>
      <c r="CX608" s="10"/>
      <c r="CY608" s="10"/>
      <c r="CZ608" s="10"/>
      <c r="DA608" s="10"/>
      <c r="DB608" s="10"/>
      <c r="DC608" s="10"/>
      <c r="DD608" s="10"/>
      <c r="DE608" s="10"/>
      <c r="DF608" s="10"/>
      <c r="DG608" s="10"/>
      <c r="DH608" s="10"/>
      <c r="DI608" s="10"/>
      <c r="DJ608" s="10"/>
      <c r="DK608" s="10"/>
      <c r="DL608" s="10"/>
      <c r="DM608" s="10"/>
      <c r="DN608" s="10"/>
      <c r="DO608" s="10"/>
      <c r="DP608" s="10"/>
    </row>
    <row r="609" spans="3:120" x14ac:dyDescent="0.25">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c r="BF609" s="10"/>
      <c r="BG609" s="10"/>
      <c r="BH609" s="10"/>
      <c r="BI609" s="10"/>
      <c r="BJ609" s="10"/>
      <c r="BK609" s="10"/>
      <c r="BL609" s="10"/>
      <c r="BM609" s="10"/>
      <c r="BN609" s="10"/>
      <c r="BO609" s="10"/>
      <c r="BP609" s="10"/>
      <c r="BQ609" s="10"/>
      <c r="BR609" s="10"/>
      <c r="BS609" s="10"/>
      <c r="BT609" s="10"/>
      <c r="BU609" s="10"/>
      <c r="BV609" s="10"/>
      <c r="BW609" s="10"/>
      <c r="BX609" s="10"/>
      <c r="BY609" s="10"/>
      <c r="BZ609" s="10"/>
      <c r="CA609" s="10"/>
      <c r="CB609" s="10"/>
      <c r="CC609" s="10"/>
      <c r="CD609" s="10"/>
      <c r="CE609" s="10"/>
      <c r="CF609" s="10"/>
      <c r="CG609" s="10"/>
      <c r="CH609" s="10"/>
      <c r="CI609" s="10"/>
      <c r="CJ609" s="10"/>
      <c r="CK609" s="10"/>
      <c r="CL609" s="10"/>
      <c r="CM609" s="10"/>
      <c r="CN609" s="10"/>
      <c r="CO609" s="10"/>
      <c r="CP609" s="10"/>
      <c r="CQ609" s="10"/>
      <c r="CR609" s="10"/>
      <c r="CS609" s="10"/>
      <c r="CT609" s="10"/>
      <c r="CU609" s="10"/>
      <c r="CV609" s="10"/>
      <c r="CW609" s="10"/>
      <c r="CX609" s="10"/>
      <c r="CY609" s="10"/>
      <c r="CZ609" s="10"/>
      <c r="DA609" s="10"/>
      <c r="DB609" s="10"/>
      <c r="DC609" s="10"/>
      <c r="DD609" s="10"/>
      <c r="DE609" s="10"/>
      <c r="DF609" s="10"/>
      <c r="DG609" s="10"/>
      <c r="DH609" s="10"/>
      <c r="DI609" s="10"/>
      <c r="DJ609" s="10"/>
      <c r="DK609" s="10"/>
      <c r="DL609" s="10"/>
      <c r="DM609" s="10"/>
      <c r="DN609" s="10"/>
      <c r="DO609" s="10"/>
      <c r="DP609" s="10"/>
    </row>
    <row r="610" spans="3:120" x14ac:dyDescent="0.25">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c r="BF610" s="10"/>
      <c r="BG610" s="10"/>
      <c r="BH610" s="10"/>
      <c r="BI610" s="10"/>
      <c r="BJ610" s="10"/>
      <c r="BK610" s="10"/>
      <c r="BL610" s="10"/>
      <c r="BM610" s="10"/>
      <c r="BN610" s="10"/>
      <c r="BO610" s="10"/>
      <c r="BP610" s="10"/>
      <c r="BQ610" s="10"/>
      <c r="BR610" s="10"/>
      <c r="BS610" s="10"/>
      <c r="BT610" s="10"/>
      <c r="BU610" s="10"/>
      <c r="BV610" s="10"/>
      <c r="BW610" s="10"/>
      <c r="BX610" s="10"/>
      <c r="BY610" s="10"/>
      <c r="BZ610" s="10"/>
      <c r="CA610" s="10"/>
      <c r="CB610" s="10"/>
      <c r="CC610" s="10"/>
      <c r="CD610" s="10"/>
      <c r="CE610" s="10"/>
      <c r="CF610" s="10"/>
      <c r="CG610" s="10"/>
      <c r="CH610" s="10"/>
      <c r="CI610" s="10"/>
      <c r="CJ610" s="10"/>
      <c r="CK610" s="10"/>
      <c r="CL610" s="10"/>
      <c r="CM610" s="10"/>
      <c r="CN610" s="10"/>
      <c r="CO610" s="10"/>
      <c r="CP610" s="10"/>
      <c r="CQ610" s="10"/>
      <c r="CR610" s="10"/>
      <c r="CS610" s="10"/>
      <c r="CT610" s="10"/>
      <c r="CU610" s="10"/>
      <c r="CV610" s="10"/>
      <c r="CW610" s="10"/>
      <c r="CX610" s="10"/>
      <c r="CY610" s="10"/>
      <c r="CZ610" s="10"/>
      <c r="DA610" s="10"/>
      <c r="DB610" s="10"/>
      <c r="DC610" s="10"/>
      <c r="DD610" s="10"/>
      <c r="DE610" s="10"/>
      <c r="DF610" s="10"/>
      <c r="DG610" s="10"/>
      <c r="DH610" s="10"/>
      <c r="DI610" s="10"/>
      <c r="DJ610" s="10"/>
      <c r="DK610" s="10"/>
      <c r="DL610" s="10"/>
      <c r="DM610" s="10"/>
      <c r="DN610" s="10"/>
      <c r="DO610" s="10"/>
      <c r="DP610" s="10"/>
    </row>
    <row r="611" spans="3:120" x14ac:dyDescent="0.25">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c r="BF611" s="10"/>
      <c r="BG611" s="10"/>
      <c r="BH611" s="10"/>
      <c r="BI611" s="10"/>
      <c r="BJ611" s="10"/>
      <c r="BK611" s="10"/>
      <c r="BL611" s="10"/>
      <c r="BM611" s="10"/>
      <c r="BN611" s="10"/>
      <c r="BO611" s="10"/>
      <c r="BP611" s="10"/>
      <c r="BQ611" s="10"/>
      <c r="BR611" s="10"/>
      <c r="BS611" s="10"/>
      <c r="BT611" s="10"/>
      <c r="BU611" s="10"/>
      <c r="BV611" s="10"/>
      <c r="BW611" s="10"/>
      <c r="BX611" s="10"/>
      <c r="BY611" s="10"/>
      <c r="BZ611" s="10"/>
      <c r="CA611" s="10"/>
      <c r="CB611" s="10"/>
      <c r="CC611" s="10"/>
      <c r="CD611" s="10"/>
      <c r="CE611" s="10"/>
      <c r="CF611" s="10"/>
      <c r="CG611" s="10"/>
      <c r="CH611" s="10"/>
      <c r="CI611" s="10"/>
      <c r="CJ611" s="10"/>
      <c r="CK611" s="10"/>
      <c r="CL611" s="10"/>
      <c r="CM611" s="10"/>
      <c r="CN611" s="10"/>
      <c r="CO611" s="10"/>
      <c r="CP611" s="10"/>
      <c r="CQ611" s="10"/>
      <c r="CR611" s="10"/>
      <c r="CS611" s="10"/>
      <c r="CT611" s="10"/>
      <c r="CU611" s="10"/>
      <c r="CV611" s="10"/>
      <c r="CW611" s="10"/>
      <c r="CX611" s="10"/>
      <c r="CY611" s="10"/>
      <c r="CZ611" s="10"/>
      <c r="DA611" s="10"/>
      <c r="DB611" s="10"/>
      <c r="DC611" s="10"/>
      <c r="DD611" s="10"/>
      <c r="DE611" s="10"/>
      <c r="DF611" s="10"/>
      <c r="DG611" s="10"/>
      <c r="DH611" s="10"/>
      <c r="DI611" s="10"/>
      <c r="DJ611" s="10"/>
      <c r="DK611" s="10"/>
      <c r="DL611" s="10"/>
      <c r="DM611" s="10"/>
      <c r="DN611" s="10"/>
      <c r="DO611" s="10"/>
      <c r="DP611" s="10"/>
    </row>
    <row r="612" spans="3:120" x14ac:dyDescent="0.25">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c r="BF612" s="10"/>
      <c r="BG612" s="10"/>
      <c r="BH612" s="10"/>
      <c r="BI612" s="10"/>
      <c r="BJ612" s="10"/>
      <c r="BK612" s="10"/>
      <c r="BL612" s="10"/>
      <c r="BM612" s="10"/>
      <c r="BN612" s="10"/>
      <c r="BO612" s="10"/>
      <c r="BP612" s="10"/>
      <c r="BQ612" s="10"/>
      <c r="BR612" s="10"/>
      <c r="BS612" s="10"/>
      <c r="BT612" s="10"/>
      <c r="BU612" s="10"/>
      <c r="BV612" s="10"/>
      <c r="BW612" s="10"/>
      <c r="BX612" s="10"/>
      <c r="BY612" s="10"/>
      <c r="BZ612" s="10"/>
      <c r="CA612" s="10"/>
      <c r="CB612" s="10"/>
      <c r="CC612" s="10"/>
      <c r="CD612" s="10"/>
      <c r="CE612" s="10"/>
      <c r="CF612" s="10"/>
      <c r="CG612" s="10"/>
      <c r="CH612" s="10"/>
      <c r="CI612" s="10"/>
      <c r="CJ612" s="10"/>
      <c r="CK612" s="10"/>
      <c r="CL612" s="10"/>
      <c r="CM612" s="10"/>
      <c r="CN612" s="10"/>
      <c r="CO612" s="10"/>
      <c r="CP612" s="10"/>
      <c r="CQ612" s="10"/>
      <c r="CR612" s="10"/>
      <c r="CS612" s="10"/>
      <c r="CT612" s="10"/>
      <c r="CU612" s="10"/>
      <c r="CV612" s="10"/>
      <c r="CW612" s="10"/>
      <c r="CX612" s="10"/>
      <c r="CY612" s="10"/>
      <c r="CZ612" s="10"/>
      <c r="DA612" s="10"/>
      <c r="DB612" s="10"/>
      <c r="DC612" s="10"/>
      <c r="DD612" s="10"/>
      <c r="DE612" s="10"/>
      <c r="DF612" s="10"/>
      <c r="DG612" s="10"/>
      <c r="DH612" s="10"/>
      <c r="DI612" s="10"/>
      <c r="DJ612" s="10"/>
      <c r="DK612" s="10"/>
      <c r="DL612" s="10"/>
      <c r="DM612" s="10"/>
      <c r="DN612" s="10"/>
      <c r="DO612" s="10"/>
      <c r="DP612" s="10"/>
    </row>
    <row r="613" spans="3:120" x14ac:dyDescent="0.25">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c r="BF613" s="10"/>
      <c r="BG613" s="10"/>
      <c r="BH613" s="10"/>
      <c r="BI613" s="10"/>
      <c r="BJ613" s="10"/>
      <c r="BK613" s="10"/>
      <c r="BL613" s="10"/>
      <c r="BM613" s="10"/>
      <c r="BN613" s="10"/>
      <c r="BO613" s="10"/>
      <c r="BP613" s="10"/>
      <c r="BQ613" s="10"/>
      <c r="BR613" s="10"/>
      <c r="BS613" s="10"/>
      <c r="BT613" s="10"/>
      <c r="BU613" s="10"/>
      <c r="BV613" s="10"/>
      <c r="BW613" s="10"/>
      <c r="BX613" s="10"/>
      <c r="BY613" s="10"/>
      <c r="BZ613" s="10"/>
      <c r="CA613" s="10"/>
      <c r="CB613" s="10"/>
      <c r="CC613" s="10"/>
      <c r="CD613" s="10"/>
      <c r="CE613" s="10"/>
      <c r="CF613" s="10"/>
      <c r="CG613" s="10"/>
      <c r="CH613" s="10"/>
      <c r="CI613" s="10"/>
      <c r="CJ613" s="10"/>
      <c r="CK613" s="10"/>
      <c r="CL613" s="10"/>
      <c r="CM613" s="10"/>
      <c r="CN613" s="10"/>
      <c r="CO613" s="10"/>
      <c r="CP613" s="10"/>
      <c r="CQ613" s="10"/>
      <c r="CR613" s="10"/>
      <c r="CS613" s="10"/>
      <c r="CT613" s="10"/>
      <c r="CU613" s="10"/>
      <c r="CV613" s="10"/>
      <c r="CW613" s="10"/>
      <c r="CX613" s="10"/>
      <c r="CY613" s="10"/>
      <c r="CZ613" s="10"/>
      <c r="DA613" s="10"/>
      <c r="DB613" s="10"/>
      <c r="DC613" s="10"/>
      <c r="DD613" s="10"/>
      <c r="DE613" s="10"/>
      <c r="DF613" s="10"/>
      <c r="DG613" s="10"/>
      <c r="DH613" s="10"/>
      <c r="DI613" s="10"/>
      <c r="DJ613" s="10"/>
      <c r="DK613" s="10"/>
      <c r="DL613" s="10"/>
      <c r="DM613" s="10"/>
      <c r="DN613" s="10"/>
      <c r="DO613" s="10"/>
      <c r="DP613" s="10"/>
    </row>
    <row r="614" spans="3:120" x14ac:dyDescent="0.25">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c r="BF614" s="10"/>
      <c r="BG614" s="10"/>
      <c r="BH614" s="10"/>
      <c r="BI614" s="10"/>
      <c r="BJ614" s="10"/>
      <c r="BK614" s="10"/>
      <c r="BL614" s="10"/>
      <c r="BM614" s="10"/>
      <c r="BN614" s="10"/>
      <c r="BO614" s="10"/>
      <c r="BP614" s="10"/>
      <c r="BQ614" s="10"/>
      <c r="BR614" s="10"/>
      <c r="BS614" s="10"/>
      <c r="BT614" s="10"/>
      <c r="BU614" s="10"/>
      <c r="BV614" s="10"/>
      <c r="BW614" s="10"/>
      <c r="BX614" s="10"/>
      <c r="BY614" s="10"/>
      <c r="BZ614" s="10"/>
      <c r="CA614" s="10"/>
      <c r="CB614" s="10"/>
      <c r="CC614" s="10"/>
      <c r="CD614" s="10"/>
      <c r="CE614" s="10"/>
      <c r="CF614" s="10"/>
      <c r="CG614" s="10"/>
      <c r="CH614" s="10"/>
      <c r="CI614" s="10"/>
      <c r="CJ614" s="10"/>
      <c r="CK614" s="10"/>
      <c r="CL614" s="10"/>
      <c r="CM614" s="10"/>
      <c r="CN614" s="10"/>
      <c r="CO614" s="10"/>
      <c r="CP614" s="10"/>
      <c r="CQ614" s="10"/>
      <c r="CR614" s="10"/>
      <c r="CS614" s="10"/>
      <c r="CT614" s="10"/>
      <c r="CU614" s="10"/>
      <c r="CV614" s="10"/>
      <c r="CW614" s="10"/>
      <c r="CX614" s="10"/>
      <c r="CY614" s="10"/>
      <c r="CZ614" s="10"/>
      <c r="DA614" s="10"/>
      <c r="DB614" s="10"/>
      <c r="DC614" s="10"/>
      <c r="DD614" s="10"/>
      <c r="DE614" s="10"/>
      <c r="DF614" s="10"/>
      <c r="DG614" s="10"/>
      <c r="DH614" s="10"/>
      <c r="DI614" s="10"/>
      <c r="DJ614" s="10"/>
      <c r="DK614" s="10"/>
      <c r="DL614" s="10"/>
      <c r="DM614" s="10"/>
      <c r="DN614" s="10"/>
      <c r="DO614" s="10"/>
      <c r="DP614" s="10"/>
    </row>
    <row r="615" spans="3:120" x14ac:dyDescent="0.25">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c r="BF615" s="10"/>
      <c r="BG615" s="10"/>
      <c r="BH615" s="10"/>
      <c r="BI615" s="10"/>
      <c r="BJ615" s="10"/>
      <c r="BK615" s="10"/>
      <c r="BL615" s="10"/>
      <c r="BM615" s="10"/>
      <c r="BN615" s="10"/>
      <c r="BO615" s="10"/>
      <c r="BP615" s="10"/>
      <c r="BQ615" s="10"/>
      <c r="BR615" s="10"/>
      <c r="BS615" s="10"/>
      <c r="BT615" s="10"/>
      <c r="BU615" s="10"/>
      <c r="BV615" s="10"/>
      <c r="BW615" s="10"/>
      <c r="BX615" s="10"/>
      <c r="BY615" s="10"/>
      <c r="BZ615" s="10"/>
      <c r="CA615" s="10"/>
      <c r="CB615" s="10"/>
      <c r="CC615" s="10"/>
      <c r="CD615" s="10"/>
      <c r="CE615" s="10"/>
      <c r="CF615" s="10"/>
      <c r="CG615" s="10"/>
      <c r="CH615" s="10"/>
      <c r="CI615" s="10"/>
      <c r="CJ615" s="10"/>
      <c r="CK615" s="10"/>
      <c r="CL615" s="10"/>
      <c r="CM615" s="10"/>
      <c r="CN615" s="10"/>
      <c r="CO615" s="10"/>
      <c r="CP615" s="10"/>
      <c r="CQ615" s="10"/>
      <c r="CR615" s="10"/>
      <c r="CS615" s="10"/>
      <c r="CT615" s="10"/>
      <c r="CU615" s="10"/>
      <c r="CV615" s="10"/>
      <c r="CW615" s="10"/>
      <c r="CX615" s="10"/>
      <c r="CY615" s="10"/>
      <c r="CZ615" s="10"/>
      <c r="DA615" s="10"/>
      <c r="DB615" s="10"/>
      <c r="DC615" s="10"/>
      <c r="DD615" s="10"/>
      <c r="DE615" s="10"/>
      <c r="DF615" s="10"/>
      <c r="DG615" s="10"/>
      <c r="DH615" s="10"/>
      <c r="DI615" s="10"/>
      <c r="DJ615" s="10"/>
      <c r="DK615" s="10"/>
      <c r="DL615" s="10"/>
      <c r="DM615" s="10"/>
      <c r="DN615" s="10"/>
      <c r="DO615" s="10"/>
      <c r="DP615" s="10"/>
    </row>
    <row r="616" spans="3:120" x14ac:dyDescent="0.25">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c r="BF616" s="10"/>
      <c r="BG616" s="10"/>
      <c r="BH616" s="10"/>
      <c r="BI616" s="10"/>
      <c r="BJ616" s="10"/>
      <c r="BK616" s="10"/>
      <c r="BL616" s="10"/>
      <c r="BM616" s="10"/>
      <c r="BN616" s="10"/>
      <c r="BO616" s="10"/>
      <c r="BP616" s="10"/>
      <c r="BQ616" s="10"/>
      <c r="BR616" s="10"/>
      <c r="BS616" s="10"/>
      <c r="BT616" s="10"/>
      <c r="BU616" s="10"/>
      <c r="BV616" s="10"/>
      <c r="BW616" s="10"/>
      <c r="BX616" s="10"/>
      <c r="BY616" s="10"/>
      <c r="BZ616" s="10"/>
      <c r="CA616" s="10"/>
      <c r="CB616" s="10"/>
      <c r="CC616" s="10"/>
      <c r="CD616" s="10"/>
      <c r="CE616" s="10"/>
      <c r="CF616" s="10"/>
      <c r="CG616" s="10"/>
      <c r="CH616" s="10"/>
      <c r="CI616" s="10"/>
      <c r="CJ616" s="10"/>
      <c r="CK616" s="10"/>
      <c r="CL616" s="10"/>
      <c r="CM616" s="10"/>
      <c r="CN616" s="10"/>
      <c r="CO616" s="10"/>
      <c r="CP616" s="10"/>
      <c r="CQ616" s="10"/>
      <c r="CR616" s="10"/>
      <c r="CS616" s="10"/>
      <c r="CT616" s="10"/>
      <c r="CU616" s="10"/>
      <c r="CV616" s="10"/>
      <c r="CW616" s="10"/>
      <c r="CX616" s="10"/>
      <c r="CY616" s="10"/>
      <c r="CZ616" s="10"/>
      <c r="DA616" s="10"/>
      <c r="DB616" s="10"/>
      <c r="DC616" s="10"/>
      <c r="DD616" s="10"/>
      <c r="DE616" s="10"/>
      <c r="DF616" s="10"/>
      <c r="DG616" s="10"/>
      <c r="DH616" s="10"/>
      <c r="DI616" s="10"/>
      <c r="DJ616" s="10"/>
      <c r="DK616" s="10"/>
      <c r="DL616" s="10"/>
      <c r="DM616" s="10"/>
      <c r="DN616" s="10"/>
      <c r="DO616" s="10"/>
      <c r="DP616" s="10"/>
    </row>
    <row r="617" spans="3:120" x14ac:dyDescent="0.25">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c r="BF617" s="10"/>
      <c r="BG617" s="10"/>
      <c r="BH617" s="10"/>
      <c r="BI617" s="10"/>
      <c r="BJ617" s="10"/>
      <c r="BK617" s="10"/>
      <c r="BL617" s="10"/>
      <c r="BM617" s="10"/>
      <c r="BN617" s="10"/>
      <c r="BO617" s="10"/>
      <c r="BP617" s="10"/>
      <c r="BQ617" s="10"/>
      <c r="BR617" s="10"/>
      <c r="BS617" s="10"/>
      <c r="BT617" s="10"/>
      <c r="BU617" s="10"/>
      <c r="BV617" s="10"/>
      <c r="BW617" s="10"/>
      <c r="BX617" s="10"/>
      <c r="BY617" s="10"/>
      <c r="BZ617" s="10"/>
      <c r="CA617" s="10"/>
      <c r="CB617" s="10"/>
      <c r="CC617" s="10"/>
      <c r="CD617" s="10"/>
      <c r="CE617" s="10"/>
      <c r="CF617" s="10"/>
      <c r="CG617" s="10"/>
      <c r="CH617" s="10"/>
      <c r="CI617" s="10"/>
      <c r="CJ617" s="10"/>
      <c r="CK617" s="10"/>
      <c r="CL617" s="10"/>
      <c r="CM617" s="10"/>
      <c r="CN617" s="10"/>
      <c r="CO617" s="10"/>
      <c r="CP617" s="10"/>
      <c r="CQ617" s="10"/>
      <c r="CR617" s="10"/>
      <c r="CS617" s="10"/>
      <c r="CT617" s="10"/>
      <c r="CU617" s="10"/>
      <c r="CV617" s="10"/>
      <c r="CW617" s="10"/>
      <c r="CX617" s="10"/>
      <c r="CY617" s="10"/>
      <c r="CZ617" s="10"/>
      <c r="DA617" s="10"/>
      <c r="DB617" s="10"/>
      <c r="DC617" s="10"/>
      <c r="DD617" s="10"/>
      <c r="DE617" s="10"/>
      <c r="DF617" s="10"/>
      <c r="DG617" s="10"/>
      <c r="DH617" s="10"/>
      <c r="DI617" s="10"/>
      <c r="DJ617" s="10"/>
      <c r="DK617" s="10"/>
      <c r="DL617" s="10"/>
      <c r="DM617" s="10"/>
      <c r="DN617" s="10"/>
      <c r="DO617" s="10"/>
      <c r="DP617" s="10"/>
    </row>
    <row r="618" spans="3:120" x14ac:dyDescent="0.25">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10"/>
      <c r="BO618" s="10"/>
      <c r="BP618" s="10"/>
      <c r="BQ618" s="10"/>
      <c r="BR618" s="10"/>
      <c r="BS618" s="10"/>
      <c r="BT618" s="10"/>
      <c r="BU618" s="10"/>
      <c r="BV618" s="10"/>
      <c r="BW618" s="10"/>
      <c r="BX618" s="10"/>
      <c r="BY618" s="10"/>
      <c r="BZ618" s="10"/>
      <c r="CA618" s="10"/>
      <c r="CB618" s="10"/>
      <c r="CC618" s="10"/>
      <c r="CD618" s="10"/>
      <c r="CE618" s="10"/>
      <c r="CF618" s="10"/>
      <c r="CG618" s="10"/>
      <c r="CH618" s="10"/>
      <c r="CI618" s="10"/>
      <c r="CJ618" s="10"/>
      <c r="CK618" s="10"/>
      <c r="CL618" s="10"/>
      <c r="CM618" s="10"/>
      <c r="CN618" s="10"/>
      <c r="CO618" s="10"/>
      <c r="CP618" s="10"/>
      <c r="CQ618" s="10"/>
      <c r="CR618" s="10"/>
      <c r="CS618" s="10"/>
      <c r="CT618" s="10"/>
      <c r="CU618" s="10"/>
      <c r="CV618" s="10"/>
      <c r="CW618" s="10"/>
      <c r="CX618" s="10"/>
      <c r="CY618" s="10"/>
      <c r="CZ618" s="10"/>
      <c r="DA618" s="10"/>
      <c r="DB618" s="10"/>
      <c r="DC618" s="10"/>
      <c r="DD618" s="10"/>
      <c r="DE618" s="10"/>
      <c r="DF618" s="10"/>
      <c r="DG618" s="10"/>
      <c r="DH618" s="10"/>
      <c r="DI618" s="10"/>
      <c r="DJ618" s="10"/>
      <c r="DK618" s="10"/>
      <c r="DL618" s="10"/>
      <c r="DM618" s="10"/>
      <c r="DN618" s="10"/>
      <c r="DO618" s="10"/>
      <c r="DP618" s="10"/>
    </row>
    <row r="619" spans="3:120" x14ac:dyDescent="0.25">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c r="BG619" s="10"/>
      <c r="BH619" s="10"/>
      <c r="BI619" s="10"/>
      <c r="BJ619" s="10"/>
      <c r="BK619" s="10"/>
      <c r="BL619" s="10"/>
      <c r="BM619" s="10"/>
      <c r="BN619" s="10"/>
      <c r="BO619" s="10"/>
      <c r="BP619" s="10"/>
      <c r="BQ619" s="10"/>
      <c r="BR619" s="10"/>
      <c r="BS619" s="10"/>
      <c r="BT619" s="10"/>
      <c r="BU619" s="10"/>
      <c r="BV619" s="10"/>
      <c r="BW619" s="10"/>
      <c r="BX619" s="10"/>
      <c r="BY619" s="10"/>
      <c r="BZ619" s="10"/>
      <c r="CA619" s="10"/>
      <c r="CB619" s="10"/>
      <c r="CC619" s="10"/>
      <c r="CD619" s="10"/>
      <c r="CE619" s="10"/>
      <c r="CF619" s="10"/>
      <c r="CG619" s="10"/>
      <c r="CH619" s="10"/>
      <c r="CI619" s="10"/>
      <c r="CJ619" s="10"/>
      <c r="CK619" s="10"/>
      <c r="CL619" s="10"/>
      <c r="CM619" s="10"/>
      <c r="CN619" s="10"/>
      <c r="CO619" s="10"/>
      <c r="CP619" s="10"/>
      <c r="CQ619" s="10"/>
      <c r="CR619" s="10"/>
      <c r="CS619" s="10"/>
      <c r="CT619" s="10"/>
      <c r="CU619" s="10"/>
      <c r="CV619" s="10"/>
      <c r="CW619" s="10"/>
      <c r="CX619" s="10"/>
      <c r="CY619" s="10"/>
      <c r="CZ619" s="10"/>
      <c r="DA619" s="10"/>
      <c r="DB619" s="10"/>
      <c r="DC619" s="10"/>
      <c r="DD619" s="10"/>
      <c r="DE619" s="10"/>
      <c r="DF619" s="10"/>
      <c r="DG619" s="10"/>
      <c r="DH619" s="10"/>
      <c r="DI619" s="10"/>
      <c r="DJ619" s="10"/>
      <c r="DK619" s="10"/>
      <c r="DL619" s="10"/>
      <c r="DM619" s="10"/>
      <c r="DN619" s="10"/>
      <c r="DO619" s="10"/>
      <c r="DP619" s="10"/>
    </row>
    <row r="620" spans="3:120" x14ac:dyDescent="0.25">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10"/>
      <c r="BM620" s="10"/>
      <c r="BN620" s="10"/>
      <c r="BO620" s="10"/>
      <c r="BP620" s="10"/>
      <c r="BQ620" s="10"/>
      <c r="BR620" s="10"/>
      <c r="BS620" s="10"/>
      <c r="BT620" s="10"/>
      <c r="BU620" s="10"/>
      <c r="BV620" s="10"/>
      <c r="BW620" s="10"/>
      <c r="BX620" s="10"/>
      <c r="BY620" s="10"/>
      <c r="BZ620" s="10"/>
      <c r="CA620" s="10"/>
      <c r="CB620" s="10"/>
      <c r="CC620" s="10"/>
      <c r="CD620" s="10"/>
      <c r="CE620" s="10"/>
      <c r="CF620" s="10"/>
      <c r="CG620" s="10"/>
      <c r="CH620" s="10"/>
      <c r="CI620" s="10"/>
      <c r="CJ620" s="10"/>
      <c r="CK620" s="10"/>
      <c r="CL620" s="10"/>
      <c r="CM620" s="10"/>
      <c r="CN620" s="10"/>
      <c r="CO620" s="10"/>
      <c r="CP620" s="10"/>
      <c r="CQ620" s="10"/>
      <c r="CR620" s="10"/>
      <c r="CS620" s="10"/>
      <c r="CT620" s="10"/>
      <c r="CU620" s="10"/>
      <c r="CV620" s="10"/>
      <c r="CW620" s="10"/>
      <c r="CX620" s="10"/>
      <c r="CY620" s="10"/>
      <c r="CZ620" s="10"/>
      <c r="DA620" s="10"/>
      <c r="DB620" s="10"/>
      <c r="DC620" s="10"/>
      <c r="DD620" s="10"/>
      <c r="DE620" s="10"/>
      <c r="DF620" s="10"/>
      <c r="DG620" s="10"/>
      <c r="DH620" s="10"/>
      <c r="DI620" s="10"/>
      <c r="DJ620" s="10"/>
      <c r="DK620" s="10"/>
      <c r="DL620" s="10"/>
      <c r="DM620" s="10"/>
      <c r="DN620" s="10"/>
      <c r="DO620" s="10"/>
      <c r="DP620" s="10"/>
    </row>
    <row r="621" spans="3:120" x14ac:dyDescent="0.25">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c r="BF621" s="10"/>
      <c r="BG621" s="10"/>
      <c r="BH621" s="10"/>
      <c r="BI621" s="10"/>
      <c r="BJ621" s="10"/>
      <c r="BK621" s="10"/>
      <c r="BL621" s="10"/>
      <c r="BM621" s="10"/>
      <c r="BN621" s="10"/>
      <c r="BO621" s="10"/>
      <c r="BP621" s="10"/>
      <c r="BQ621" s="10"/>
      <c r="BR621" s="10"/>
      <c r="BS621" s="10"/>
      <c r="BT621" s="10"/>
      <c r="BU621" s="10"/>
      <c r="BV621" s="10"/>
      <c r="BW621" s="10"/>
      <c r="BX621" s="10"/>
      <c r="BY621" s="10"/>
      <c r="BZ621" s="10"/>
      <c r="CA621" s="10"/>
      <c r="CB621" s="10"/>
      <c r="CC621" s="10"/>
      <c r="CD621" s="10"/>
      <c r="CE621" s="10"/>
      <c r="CF621" s="10"/>
      <c r="CG621" s="10"/>
      <c r="CH621" s="10"/>
      <c r="CI621" s="10"/>
      <c r="CJ621" s="10"/>
      <c r="CK621" s="10"/>
      <c r="CL621" s="10"/>
      <c r="CM621" s="10"/>
      <c r="CN621" s="10"/>
      <c r="CO621" s="10"/>
      <c r="CP621" s="10"/>
      <c r="CQ621" s="10"/>
      <c r="CR621" s="10"/>
      <c r="CS621" s="10"/>
      <c r="CT621" s="10"/>
      <c r="CU621" s="10"/>
      <c r="CV621" s="10"/>
      <c r="CW621" s="10"/>
      <c r="CX621" s="10"/>
      <c r="CY621" s="10"/>
      <c r="CZ621" s="10"/>
      <c r="DA621" s="10"/>
      <c r="DB621" s="10"/>
      <c r="DC621" s="10"/>
      <c r="DD621" s="10"/>
      <c r="DE621" s="10"/>
      <c r="DF621" s="10"/>
      <c r="DG621" s="10"/>
      <c r="DH621" s="10"/>
      <c r="DI621" s="10"/>
      <c r="DJ621" s="10"/>
      <c r="DK621" s="10"/>
      <c r="DL621" s="10"/>
      <c r="DM621" s="10"/>
      <c r="DN621" s="10"/>
      <c r="DO621" s="10"/>
      <c r="DP621" s="10"/>
    </row>
    <row r="622" spans="3:120" x14ac:dyDescent="0.25">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c r="BF622" s="10"/>
      <c r="BG622" s="10"/>
      <c r="BH622" s="10"/>
      <c r="BI622" s="10"/>
      <c r="BJ622" s="10"/>
      <c r="BK622" s="10"/>
      <c r="BL622" s="10"/>
      <c r="BM622" s="10"/>
      <c r="BN622" s="10"/>
      <c r="BO622" s="10"/>
      <c r="BP622" s="10"/>
      <c r="BQ622" s="10"/>
      <c r="BR622" s="10"/>
      <c r="BS622" s="10"/>
      <c r="BT622" s="10"/>
      <c r="BU622" s="10"/>
      <c r="BV622" s="10"/>
      <c r="BW622" s="10"/>
      <c r="BX622" s="10"/>
      <c r="BY622" s="10"/>
      <c r="BZ622" s="10"/>
      <c r="CA622" s="10"/>
      <c r="CB622" s="10"/>
      <c r="CC622" s="10"/>
      <c r="CD622" s="10"/>
      <c r="CE622" s="10"/>
      <c r="CF622" s="10"/>
      <c r="CG622" s="10"/>
      <c r="CH622" s="10"/>
      <c r="CI622" s="10"/>
      <c r="CJ622" s="10"/>
      <c r="CK622" s="10"/>
      <c r="CL622" s="10"/>
      <c r="CM622" s="10"/>
      <c r="CN622" s="10"/>
      <c r="CO622" s="10"/>
      <c r="CP622" s="10"/>
      <c r="CQ622" s="10"/>
      <c r="CR622" s="10"/>
      <c r="CS622" s="10"/>
      <c r="CT622" s="10"/>
      <c r="CU622" s="10"/>
      <c r="CV622" s="10"/>
      <c r="CW622" s="10"/>
      <c r="CX622" s="10"/>
      <c r="CY622" s="10"/>
      <c r="CZ622" s="10"/>
      <c r="DA622" s="10"/>
      <c r="DB622" s="10"/>
      <c r="DC622" s="10"/>
      <c r="DD622" s="10"/>
      <c r="DE622" s="10"/>
      <c r="DF622" s="10"/>
      <c r="DG622" s="10"/>
      <c r="DH622" s="10"/>
      <c r="DI622" s="10"/>
      <c r="DJ622" s="10"/>
      <c r="DK622" s="10"/>
      <c r="DL622" s="10"/>
      <c r="DM622" s="10"/>
      <c r="DN622" s="10"/>
      <c r="DO622" s="10"/>
      <c r="DP622" s="10"/>
    </row>
    <row r="623" spans="3:120" x14ac:dyDescent="0.25">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0"/>
      <c r="BG623" s="10"/>
      <c r="BH623" s="10"/>
      <c r="BI623" s="10"/>
      <c r="BJ623" s="10"/>
      <c r="BK623" s="10"/>
      <c r="BL623" s="10"/>
      <c r="BM623" s="10"/>
      <c r="BN623" s="10"/>
      <c r="BO623" s="10"/>
      <c r="BP623" s="10"/>
      <c r="BQ623" s="10"/>
      <c r="BR623" s="10"/>
      <c r="BS623" s="10"/>
      <c r="BT623" s="10"/>
      <c r="BU623" s="10"/>
      <c r="BV623" s="10"/>
      <c r="BW623" s="10"/>
      <c r="BX623" s="10"/>
      <c r="BY623" s="10"/>
      <c r="BZ623" s="10"/>
      <c r="CA623" s="10"/>
      <c r="CB623" s="10"/>
      <c r="CC623" s="10"/>
      <c r="CD623" s="10"/>
      <c r="CE623" s="10"/>
      <c r="CF623" s="10"/>
      <c r="CG623" s="10"/>
      <c r="CH623" s="10"/>
      <c r="CI623" s="10"/>
      <c r="CJ623" s="10"/>
      <c r="CK623" s="10"/>
      <c r="CL623" s="10"/>
      <c r="CM623" s="10"/>
      <c r="CN623" s="10"/>
      <c r="CO623" s="10"/>
      <c r="CP623" s="10"/>
      <c r="CQ623" s="10"/>
      <c r="CR623" s="10"/>
      <c r="CS623" s="10"/>
      <c r="CT623" s="10"/>
      <c r="CU623" s="10"/>
      <c r="CV623" s="10"/>
      <c r="CW623" s="10"/>
      <c r="CX623" s="10"/>
      <c r="CY623" s="10"/>
      <c r="CZ623" s="10"/>
      <c r="DA623" s="10"/>
      <c r="DB623" s="10"/>
      <c r="DC623" s="10"/>
      <c r="DD623" s="10"/>
      <c r="DE623" s="10"/>
      <c r="DF623" s="10"/>
      <c r="DG623" s="10"/>
      <c r="DH623" s="10"/>
      <c r="DI623" s="10"/>
      <c r="DJ623" s="10"/>
      <c r="DK623" s="10"/>
      <c r="DL623" s="10"/>
      <c r="DM623" s="10"/>
      <c r="DN623" s="10"/>
      <c r="DO623" s="10"/>
      <c r="DP623" s="10"/>
    </row>
    <row r="624" spans="3:120" x14ac:dyDescent="0.25">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c r="BF624" s="10"/>
      <c r="BG624" s="10"/>
      <c r="BH624" s="10"/>
      <c r="BI624" s="10"/>
      <c r="BJ624" s="10"/>
      <c r="BK624" s="10"/>
      <c r="BL624" s="10"/>
      <c r="BM624" s="10"/>
      <c r="BN624" s="10"/>
      <c r="BO624" s="10"/>
      <c r="BP624" s="10"/>
      <c r="BQ624" s="10"/>
      <c r="BR624" s="10"/>
      <c r="BS624" s="10"/>
      <c r="BT624" s="10"/>
      <c r="BU624" s="10"/>
      <c r="BV624" s="10"/>
      <c r="BW624" s="10"/>
      <c r="BX624" s="10"/>
      <c r="BY624" s="10"/>
      <c r="BZ624" s="10"/>
      <c r="CA624" s="10"/>
      <c r="CB624" s="10"/>
      <c r="CC624" s="10"/>
      <c r="CD624" s="10"/>
      <c r="CE624" s="10"/>
      <c r="CF624" s="10"/>
      <c r="CG624" s="10"/>
      <c r="CH624" s="10"/>
      <c r="CI624" s="10"/>
      <c r="CJ624" s="10"/>
      <c r="CK624" s="10"/>
      <c r="CL624" s="10"/>
      <c r="CM624" s="10"/>
      <c r="CN624" s="10"/>
      <c r="CO624" s="10"/>
      <c r="CP624" s="10"/>
      <c r="CQ624" s="10"/>
      <c r="CR624" s="10"/>
      <c r="CS624" s="10"/>
      <c r="CT624" s="10"/>
      <c r="CU624" s="10"/>
      <c r="CV624" s="10"/>
      <c r="CW624" s="10"/>
      <c r="CX624" s="10"/>
      <c r="CY624" s="10"/>
      <c r="CZ624" s="10"/>
      <c r="DA624" s="10"/>
      <c r="DB624" s="10"/>
      <c r="DC624" s="10"/>
      <c r="DD624" s="10"/>
      <c r="DE624" s="10"/>
      <c r="DF624" s="10"/>
      <c r="DG624" s="10"/>
      <c r="DH624" s="10"/>
      <c r="DI624" s="10"/>
      <c r="DJ624" s="10"/>
      <c r="DK624" s="10"/>
      <c r="DL624" s="10"/>
      <c r="DM624" s="10"/>
      <c r="DN624" s="10"/>
      <c r="DO624" s="10"/>
      <c r="DP624" s="10"/>
    </row>
    <row r="625" spans="3:120" x14ac:dyDescent="0.25">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c r="BF625" s="10"/>
      <c r="BG625" s="10"/>
      <c r="BH625" s="10"/>
      <c r="BI625" s="10"/>
      <c r="BJ625" s="10"/>
      <c r="BK625" s="10"/>
      <c r="BL625" s="10"/>
      <c r="BM625" s="10"/>
      <c r="BN625" s="10"/>
      <c r="BO625" s="10"/>
      <c r="BP625" s="10"/>
      <c r="BQ625" s="10"/>
      <c r="BR625" s="10"/>
      <c r="BS625" s="10"/>
      <c r="BT625" s="10"/>
      <c r="BU625" s="10"/>
      <c r="BV625" s="10"/>
      <c r="BW625" s="10"/>
      <c r="BX625" s="10"/>
      <c r="BY625" s="10"/>
      <c r="BZ625" s="10"/>
      <c r="CA625" s="10"/>
      <c r="CB625" s="10"/>
      <c r="CC625" s="10"/>
      <c r="CD625" s="10"/>
      <c r="CE625" s="10"/>
      <c r="CF625" s="10"/>
      <c r="CG625" s="10"/>
      <c r="CH625" s="10"/>
      <c r="CI625" s="10"/>
      <c r="CJ625" s="10"/>
      <c r="CK625" s="10"/>
      <c r="CL625" s="10"/>
      <c r="CM625" s="10"/>
      <c r="CN625" s="10"/>
      <c r="CO625" s="10"/>
      <c r="CP625" s="10"/>
      <c r="CQ625" s="10"/>
      <c r="CR625" s="10"/>
      <c r="CS625" s="10"/>
      <c r="CT625" s="10"/>
      <c r="CU625" s="10"/>
      <c r="CV625" s="10"/>
      <c r="CW625" s="10"/>
      <c r="CX625" s="10"/>
      <c r="CY625" s="10"/>
      <c r="CZ625" s="10"/>
      <c r="DA625" s="10"/>
      <c r="DB625" s="10"/>
      <c r="DC625" s="10"/>
      <c r="DD625" s="10"/>
      <c r="DE625" s="10"/>
      <c r="DF625" s="10"/>
      <c r="DG625" s="10"/>
      <c r="DH625" s="10"/>
      <c r="DI625" s="10"/>
      <c r="DJ625" s="10"/>
      <c r="DK625" s="10"/>
      <c r="DL625" s="10"/>
      <c r="DM625" s="10"/>
      <c r="DN625" s="10"/>
      <c r="DO625" s="10"/>
      <c r="DP625" s="10"/>
    </row>
    <row r="626" spans="3:120" x14ac:dyDescent="0.25">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c r="BF626" s="10"/>
      <c r="BG626" s="10"/>
      <c r="BH626" s="10"/>
      <c r="BI626" s="10"/>
      <c r="BJ626" s="10"/>
      <c r="BK626" s="10"/>
      <c r="BL626" s="10"/>
      <c r="BM626" s="10"/>
      <c r="BN626" s="10"/>
      <c r="BO626" s="10"/>
      <c r="BP626" s="10"/>
      <c r="BQ626" s="10"/>
      <c r="BR626" s="10"/>
      <c r="BS626" s="10"/>
      <c r="BT626" s="10"/>
      <c r="BU626" s="10"/>
      <c r="BV626" s="10"/>
      <c r="BW626" s="10"/>
      <c r="BX626" s="10"/>
      <c r="BY626" s="10"/>
      <c r="BZ626" s="10"/>
      <c r="CA626" s="10"/>
      <c r="CB626" s="10"/>
      <c r="CC626" s="10"/>
      <c r="CD626" s="10"/>
      <c r="CE626" s="10"/>
      <c r="CF626" s="10"/>
      <c r="CG626" s="10"/>
      <c r="CH626" s="10"/>
      <c r="CI626" s="10"/>
      <c r="CJ626" s="10"/>
      <c r="CK626" s="10"/>
      <c r="CL626" s="10"/>
      <c r="CM626" s="10"/>
      <c r="CN626" s="10"/>
      <c r="CO626" s="10"/>
      <c r="CP626" s="10"/>
      <c r="CQ626" s="10"/>
      <c r="CR626" s="10"/>
      <c r="CS626" s="10"/>
      <c r="CT626" s="10"/>
      <c r="CU626" s="10"/>
      <c r="CV626" s="10"/>
      <c r="CW626" s="10"/>
      <c r="CX626" s="10"/>
      <c r="CY626" s="10"/>
      <c r="CZ626" s="10"/>
      <c r="DA626" s="10"/>
      <c r="DB626" s="10"/>
      <c r="DC626" s="10"/>
      <c r="DD626" s="10"/>
      <c r="DE626" s="10"/>
      <c r="DF626" s="10"/>
      <c r="DG626" s="10"/>
      <c r="DH626" s="10"/>
      <c r="DI626" s="10"/>
      <c r="DJ626" s="10"/>
      <c r="DK626" s="10"/>
      <c r="DL626" s="10"/>
      <c r="DM626" s="10"/>
      <c r="DN626" s="10"/>
      <c r="DO626" s="10"/>
      <c r="DP626" s="10"/>
    </row>
    <row r="627" spans="3:120" x14ac:dyDescent="0.25">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c r="BF627" s="10"/>
      <c r="BG627" s="10"/>
      <c r="BH627" s="10"/>
      <c r="BI627" s="10"/>
      <c r="BJ627" s="10"/>
      <c r="BK627" s="10"/>
      <c r="BL627" s="10"/>
      <c r="BM627" s="10"/>
      <c r="BN627" s="10"/>
      <c r="BO627" s="10"/>
      <c r="BP627" s="10"/>
      <c r="BQ627" s="10"/>
      <c r="BR627" s="10"/>
      <c r="BS627" s="10"/>
      <c r="BT627" s="10"/>
      <c r="BU627" s="10"/>
      <c r="BV627" s="10"/>
      <c r="BW627" s="10"/>
      <c r="BX627" s="10"/>
      <c r="BY627" s="10"/>
      <c r="BZ627" s="10"/>
      <c r="CA627" s="10"/>
      <c r="CB627" s="10"/>
      <c r="CC627" s="10"/>
      <c r="CD627" s="10"/>
      <c r="CE627" s="10"/>
      <c r="CF627" s="10"/>
      <c r="CG627" s="10"/>
      <c r="CH627" s="10"/>
      <c r="CI627" s="10"/>
      <c r="CJ627" s="10"/>
      <c r="CK627" s="10"/>
      <c r="CL627" s="10"/>
      <c r="CM627" s="10"/>
      <c r="CN627" s="10"/>
      <c r="CO627" s="10"/>
      <c r="CP627" s="10"/>
      <c r="CQ627" s="10"/>
      <c r="CR627" s="10"/>
      <c r="CS627" s="10"/>
      <c r="CT627" s="10"/>
      <c r="CU627" s="10"/>
      <c r="CV627" s="10"/>
      <c r="CW627" s="10"/>
      <c r="CX627" s="10"/>
      <c r="CY627" s="10"/>
      <c r="CZ627" s="10"/>
      <c r="DA627" s="10"/>
      <c r="DB627" s="10"/>
      <c r="DC627" s="10"/>
      <c r="DD627" s="10"/>
      <c r="DE627" s="10"/>
      <c r="DF627" s="10"/>
      <c r="DG627" s="10"/>
      <c r="DH627" s="10"/>
      <c r="DI627" s="10"/>
      <c r="DJ627" s="10"/>
      <c r="DK627" s="10"/>
      <c r="DL627" s="10"/>
      <c r="DM627" s="10"/>
      <c r="DN627" s="10"/>
      <c r="DO627" s="10"/>
      <c r="DP627" s="10"/>
    </row>
    <row r="628" spans="3:120" x14ac:dyDescent="0.25">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c r="BF628" s="10"/>
      <c r="BG628" s="10"/>
      <c r="BH628" s="10"/>
      <c r="BI628" s="10"/>
      <c r="BJ628" s="10"/>
      <c r="BK628" s="10"/>
      <c r="BL628" s="10"/>
      <c r="BM628" s="10"/>
      <c r="BN628" s="10"/>
      <c r="BO628" s="10"/>
      <c r="BP628" s="10"/>
      <c r="BQ628" s="10"/>
      <c r="BR628" s="10"/>
      <c r="BS628" s="10"/>
      <c r="BT628" s="10"/>
      <c r="BU628" s="10"/>
      <c r="BV628" s="10"/>
      <c r="BW628" s="10"/>
      <c r="BX628" s="10"/>
      <c r="BY628" s="10"/>
      <c r="BZ628" s="10"/>
      <c r="CA628" s="10"/>
      <c r="CB628" s="10"/>
      <c r="CC628" s="10"/>
      <c r="CD628" s="10"/>
      <c r="CE628" s="10"/>
      <c r="CF628" s="10"/>
      <c r="CG628" s="10"/>
      <c r="CH628" s="10"/>
      <c r="CI628" s="10"/>
      <c r="CJ628" s="10"/>
      <c r="CK628" s="10"/>
      <c r="CL628" s="10"/>
      <c r="CM628" s="10"/>
      <c r="CN628" s="10"/>
      <c r="CO628" s="10"/>
      <c r="CP628" s="10"/>
      <c r="CQ628" s="10"/>
      <c r="CR628" s="10"/>
      <c r="CS628" s="10"/>
      <c r="CT628" s="10"/>
      <c r="CU628" s="10"/>
      <c r="CV628" s="10"/>
      <c r="CW628" s="10"/>
      <c r="CX628" s="10"/>
      <c r="CY628" s="10"/>
      <c r="CZ628" s="10"/>
      <c r="DA628" s="10"/>
      <c r="DB628" s="10"/>
      <c r="DC628" s="10"/>
      <c r="DD628" s="10"/>
      <c r="DE628" s="10"/>
      <c r="DF628" s="10"/>
      <c r="DG628" s="10"/>
      <c r="DH628" s="10"/>
      <c r="DI628" s="10"/>
      <c r="DJ628" s="10"/>
      <c r="DK628" s="10"/>
      <c r="DL628" s="10"/>
      <c r="DM628" s="10"/>
      <c r="DN628" s="10"/>
      <c r="DO628" s="10"/>
      <c r="DP628" s="10"/>
    </row>
    <row r="629" spans="3:120" x14ac:dyDescent="0.25">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c r="BF629" s="10"/>
      <c r="BG629" s="10"/>
      <c r="BH629" s="10"/>
      <c r="BI629" s="10"/>
      <c r="BJ629" s="10"/>
      <c r="BK629" s="10"/>
      <c r="BL629" s="10"/>
      <c r="BM629" s="10"/>
      <c r="BN629" s="10"/>
      <c r="BO629" s="10"/>
      <c r="BP629" s="10"/>
      <c r="BQ629" s="10"/>
      <c r="BR629" s="10"/>
      <c r="BS629" s="10"/>
      <c r="BT629" s="10"/>
      <c r="BU629" s="10"/>
      <c r="BV629" s="10"/>
      <c r="BW629" s="10"/>
      <c r="BX629" s="10"/>
      <c r="BY629" s="10"/>
      <c r="BZ629" s="10"/>
      <c r="CA629" s="10"/>
      <c r="CB629" s="10"/>
      <c r="CC629" s="10"/>
      <c r="CD629" s="10"/>
      <c r="CE629" s="10"/>
      <c r="CF629" s="10"/>
      <c r="CG629" s="10"/>
      <c r="CH629" s="10"/>
      <c r="CI629" s="10"/>
      <c r="CJ629" s="10"/>
      <c r="CK629" s="10"/>
      <c r="CL629" s="10"/>
      <c r="CM629" s="10"/>
      <c r="CN629" s="10"/>
      <c r="CO629" s="10"/>
      <c r="CP629" s="10"/>
      <c r="CQ629" s="10"/>
      <c r="CR629" s="10"/>
      <c r="CS629" s="10"/>
      <c r="CT629" s="10"/>
      <c r="CU629" s="10"/>
      <c r="CV629" s="10"/>
      <c r="CW629" s="10"/>
      <c r="CX629" s="10"/>
      <c r="CY629" s="10"/>
      <c r="CZ629" s="10"/>
      <c r="DA629" s="10"/>
      <c r="DB629" s="10"/>
      <c r="DC629" s="10"/>
      <c r="DD629" s="10"/>
      <c r="DE629" s="10"/>
      <c r="DF629" s="10"/>
      <c r="DG629" s="10"/>
      <c r="DH629" s="10"/>
      <c r="DI629" s="10"/>
      <c r="DJ629" s="10"/>
      <c r="DK629" s="10"/>
      <c r="DL629" s="10"/>
      <c r="DM629" s="10"/>
      <c r="DN629" s="10"/>
      <c r="DO629" s="10"/>
      <c r="DP629" s="10"/>
    </row>
    <row r="630" spans="3:120" x14ac:dyDescent="0.25">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c r="BF630" s="10"/>
      <c r="BG630" s="10"/>
      <c r="BH630" s="10"/>
      <c r="BI630" s="10"/>
      <c r="BJ630" s="10"/>
      <c r="BK630" s="10"/>
      <c r="BL630" s="10"/>
      <c r="BM630" s="10"/>
      <c r="BN630" s="10"/>
      <c r="BO630" s="10"/>
      <c r="BP630" s="10"/>
      <c r="BQ630" s="10"/>
      <c r="BR630" s="10"/>
      <c r="BS630" s="10"/>
      <c r="BT630" s="10"/>
      <c r="BU630" s="10"/>
      <c r="BV630" s="10"/>
      <c r="BW630" s="10"/>
      <c r="BX630" s="10"/>
      <c r="BY630" s="10"/>
      <c r="BZ630" s="10"/>
      <c r="CA630" s="10"/>
      <c r="CB630" s="10"/>
      <c r="CC630" s="10"/>
      <c r="CD630" s="10"/>
      <c r="CE630" s="10"/>
      <c r="CF630" s="10"/>
      <c r="CG630" s="10"/>
      <c r="CH630" s="10"/>
      <c r="CI630" s="10"/>
      <c r="CJ630" s="10"/>
      <c r="CK630" s="10"/>
      <c r="CL630" s="10"/>
      <c r="CM630" s="10"/>
      <c r="CN630" s="10"/>
      <c r="CO630" s="10"/>
      <c r="CP630" s="10"/>
      <c r="CQ630" s="10"/>
      <c r="CR630" s="10"/>
      <c r="CS630" s="10"/>
      <c r="CT630" s="10"/>
      <c r="CU630" s="10"/>
      <c r="CV630" s="10"/>
      <c r="CW630" s="10"/>
      <c r="CX630" s="10"/>
      <c r="CY630" s="10"/>
      <c r="CZ630" s="10"/>
      <c r="DA630" s="10"/>
      <c r="DB630" s="10"/>
      <c r="DC630" s="10"/>
      <c r="DD630" s="10"/>
      <c r="DE630" s="10"/>
      <c r="DF630" s="10"/>
      <c r="DG630" s="10"/>
      <c r="DH630" s="10"/>
      <c r="DI630" s="10"/>
      <c r="DJ630" s="10"/>
      <c r="DK630" s="10"/>
      <c r="DL630" s="10"/>
      <c r="DM630" s="10"/>
      <c r="DN630" s="10"/>
      <c r="DO630" s="10"/>
      <c r="DP630" s="10"/>
    </row>
    <row r="631" spans="3:120" x14ac:dyDescent="0.25">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0"/>
      <c r="BI631" s="10"/>
      <c r="BJ631" s="10"/>
      <c r="BK631" s="10"/>
      <c r="BL631" s="10"/>
      <c r="BM631" s="10"/>
      <c r="BN631" s="10"/>
      <c r="BO631" s="10"/>
      <c r="BP631" s="10"/>
      <c r="BQ631" s="10"/>
      <c r="BR631" s="10"/>
      <c r="BS631" s="10"/>
      <c r="BT631" s="10"/>
      <c r="BU631" s="10"/>
      <c r="BV631" s="10"/>
      <c r="BW631" s="10"/>
      <c r="BX631" s="10"/>
      <c r="BY631" s="10"/>
      <c r="BZ631" s="10"/>
      <c r="CA631" s="10"/>
      <c r="CB631" s="10"/>
      <c r="CC631" s="10"/>
      <c r="CD631" s="10"/>
      <c r="CE631" s="10"/>
      <c r="CF631" s="10"/>
      <c r="CG631" s="10"/>
      <c r="CH631" s="10"/>
      <c r="CI631" s="10"/>
      <c r="CJ631" s="10"/>
      <c r="CK631" s="10"/>
      <c r="CL631" s="10"/>
      <c r="CM631" s="10"/>
      <c r="CN631" s="10"/>
      <c r="CO631" s="10"/>
      <c r="CP631" s="10"/>
      <c r="CQ631" s="10"/>
      <c r="CR631" s="10"/>
      <c r="CS631" s="10"/>
      <c r="CT631" s="10"/>
      <c r="CU631" s="10"/>
      <c r="CV631" s="10"/>
      <c r="CW631" s="10"/>
      <c r="CX631" s="10"/>
      <c r="CY631" s="10"/>
      <c r="CZ631" s="10"/>
      <c r="DA631" s="10"/>
      <c r="DB631" s="10"/>
      <c r="DC631" s="10"/>
      <c r="DD631" s="10"/>
      <c r="DE631" s="10"/>
      <c r="DF631" s="10"/>
      <c r="DG631" s="10"/>
      <c r="DH631" s="10"/>
      <c r="DI631" s="10"/>
      <c r="DJ631" s="10"/>
      <c r="DK631" s="10"/>
      <c r="DL631" s="10"/>
      <c r="DM631" s="10"/>
      <c r="DN631" s="10"/>
      <c r="DO631" s="10"/>
      <c r="DP631" s="10"/>
    </row>
    <row r="632" spans="3:120" x14ac:dyDescent="0.25">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c r="BG632" s="10"/>
      <c r="BH632" s="10"/>
      <c r="BI632" s="10"/>
      <c r="BJ632" s="10"/>
      <c r="BK632" s="10"/>
      <c r="BL632" s="10"/>
      <c r="BM632" s="10"/>
      <c r="BN632" s="10"/>
      <c r="BO632" s="10"/>
      <c r="BP632" s="10"/>
      <c r="BQ632" s="10"/>
      <c r="BR632" s="10"/>
      <c r="BS632" s="10"/>
      <c r="BT632" s="10"/>
      <c r="BU632" s="10"/>
      <c r="BV632" s="10"/>
      <c r="BW632" s="10"/>
      <c r="BX632" s="10"/>
      <c r="BY632" s="10"/>
      <c r="BZ632" s="10"/>
      <c r="CA632" s="10"/>
      <c r="CB632" s="10"/>
      <c r="CC632" s="10"/>
      <c r="CD632" s="10"/>
      <c r="CE632" s="10"/>
      <c r="CF632" s="10"/>
      <c r="CG632" s="10"/>
      <c r="CH632" s="10"/>
      <c r="CI632" s="10"/>
      <c r="CJ632" s="10"/>
      <c r="CK632" s="10"/>
      <c r="CL632" s="10"/>
      <c r="CM632" s="10"/>
      <c r="CN632" s="10"/>
      <c r="CO632" s="10"/>
      <c r="CP632" s="10"/>
      <c r="CQ632" s="10"/>
      <c r="CR632" s="10"/>
      <c r="CS632" s="10"/>
      <c r="CT632" s="10"/>
      <c r="CU632" s="10"/>
      <c r="CV632" s="10"/>
      <c r="CW632" s="10"/>
      <c r="CX632" s="10"/>
      <c r="CY632" s="10"/>
      <c r="CZ632" s="10"/>
      <c r="DA632" s="10"/>
      <c r="DB632" s="10"/>
      <c r="DC632" s="10"/>
      <c r="DD632" s="10"/>
      <c r="DE632" s="10"/>
      <c r="DF632" s="10"/>
      <c r="DG632" s="10"/>
      <c r="DH632" s="10"/>
      <c r="DI632" s="10"/>
      <c r="DJ632" s="10"/>
      <c r="DK632" s="10"/>
      <c r="DL632" s="10"/>
      <c r="DM632" s="10"/>
      <c r="DN632" s="10"/>
      <c r="DO632" s="10"/>
      <c r="DP632" s="10"/>
    </row>
    <row r="633" spans="3:120" x14ac:dyDescent="0.25">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c r="BG633" s="10"/>
      <c r="BH633" s="10"/>
      <c r="BI633" s="10"/>
      <c r="BJ633" s="10"/>
      <c r="BK633" s="10"/>
      <c r="BL633" s="10"/>
      <c r="BM633" s="10"/>
      <c r="BN633" s="10"/>
      <c r="BO633" s="10"/>
      <c r="BP633" s="10"/>
      <c r="BQ633" s="10"/>
      <c r="BR633" s="10"/>
      <c r="BS633" s="10"/>
      <c r="BT633" s="10"/>
      <c r="BU633" s="10"/>
      <c r="BV633" s="10"/>
      <c r="BW633" s="10"/>
      <c r="BX633" s="10"/>
      <c r="BY633" s="10"/>
      <c r="BZ633" s="10"/>
      <c r="CA633" s="10"/>
      <c r="CB633" s="10"/>
      <c r="CC633" s="10"/>
      <c r="CD633" s="10"/>
      <c r="CE633" s="10"/>
      <c r="CF633" s="10"/>
      <c r="CG633" s="10"/>
      <c r="CH633" s="10"/>
      <c r="CI633" s="10"/>
      <c r="CJ633" s="10"/>
      <c r="CK633" s="10"/>
      <c r="CL633" s="10"/>
      <c r="CM633" s="10"/>
      <c r="CN633" s="10"/>
      <c r="CO633" s="10"/>
      <c r="CP633" s="10"/>
      <c r="CQ633" s="10"/>
      <c r="CR633" s="10"/>
      <c r="CS633" s="10"/>
      <c r="CT633" s="10"/>
      <c r="CU633" s="10"/>
      <c r="CV633" s="10"/>
      <c r="CW633" s="10"/>
      <c r="CX633" s="10"/>
      <c r="CY633" s="10"/>
      <c r="CZ633" s="10"/>
      <c r="DA633" s="10"/>
      <c r="DB633" s="10"/>
      <c r="DC633" s="10"/>
      <c r="DD633" s="10"/>
      <c r="DE633" s="10"/>
      <c r="DF633" s="10"/>
      <c r="DG633" s="10"/>
      <c r="DH633" s="10"/>
      <c r="DI633" s="10"/>
      <c r="DJ633" s="10"/>
      <c r="DK633" s="10"/>
      <c r="DL633" s="10"/>
      <c r="DM633" s="10"/>
      <c r="DN633" s="10"/>
      <c r="DO633" s="10"/>
      <c r="DP633" s="10"/>
    </row>
    <row r="634" spans="3:120" x14ac:dyDescent="0.25">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10"/>
      <c r="BK634" s="10"/>
      <c r="BL634" s="10"/>
      <c r="BM634" s="10"/>
      <c r="BN634" s="10"/>
      <c r="BO634" s="10"/>
      <c r="BP634" s="10"/>
      <c r="BQ634" s="10"/>
      <c r="BR634" s="10"/>
      <c r="BS634" s="10"/>
      <c r="BT634" s="10"/>
      <c r="BU634" s="10"/>
      <c r="BV634" s="10"/>
      <c r="BW634" s="10"/>
      <c r="BX634" s="10"/>
      <c r="BY634" s="10"/>
      <c r="BZ634" s="10"/>
      <c r="CA634" s="10"/>
      <c r="CB634" s="10"/>
      <c r="CC634" s="10"/>
      <c r="CD634" s="10"/>
      <c r="CE634" s="10"/>
      <c r="CF634" s="10"/>
      <c r="CG634" s="10"/>
      <c r="CH634" s="10"/>
      <c r="CI634" s="10"/>
      <c r="CJ634" s="10"/>
      <c r="CK634" s="10"/>
      <c r="CL634" s="10"/>
      <c r="CM634" s="10"/>
      <c r="CN634" s="10"/>
      <c r="CO634" s="10"/>
      <c r="CP634" s="10"/>
      <c r="CQ634" s="10"/>
      <c r="CR634" s="10"/>
      <c r="CS634" s="10"/>
      <c r="CT634" s="10"/>
      <c r="CU634" s="10"/>
      <c r="CV634" s="10"/>
      <c r="CW634" s="10"/>
      <c r="CX634" s="10"/>
      <c r="CY634" s="10"/>
      <c r="CZ634" s="10"/>
      <c r="DA634" s="10"/>
      <c r="DB634" s="10"/>
      <c r="DC634" s="10"/>
      <c r="DD634" s="10"/>
      <c r="DE634" s="10"/>
      <c r="DF634" s="10"/>
      <c r="DG634" s="10"/>
      <c r="DH634" s="10"/>
      <c r="DI634" s="10"/>
      <c r="DJ634" s="10"/>
      <c r="DK634" s="10"/>
      <c r="DL634" s="10"/>
      <c r="DM634" s="10"/>
      <c r="DN634" s="10"/>
      <c r="DO634" s="10"/>
      <c r="DP634" s="10"/>
    </row>
    <row r="635" spans="3:120" x14ac:dyDescent="0.25">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c r="BF635" s="10"/>
      <c r="BG635" s="10"/>
      <c r="BH635" s="10"/>
      <c r="BI635" s="10"/>
      <c r="BJ635" s="10"/>
      <c r="BK635" s="10"/>
      <c r="BL635" s="10"/>
      <c r="BM635" s="10"/>
      <c r="BN635" s="10"/>
      <c r="BO635" s="10"/>
      <c r="BP635" s="10"/>
      <c r="BQ635" s="10"/>
      <c r="BR635" s="10"/>
      <c r="BS635" s="10"/>
      <c r="BT635" s="10"/>
      <c r="BU635" s="10"/>
      <c r="BV635" s="10"/>
      <c r="BW635" s="10"/>
      <c r="BX635" s="10"/>
      <c r="BY635" s="10"/>
      <c r="BZ635" s="10"/>
      <c r="CA635" s="10"/>
      <c r="CB635" s="10"/>
      <c r="CC635" s="10"/>
      <c r="CD635" s="10"/>
      <c r="CE635" s="10"/>
      <c r="CF635" s="10"/>
      <c r="CG635" s="10"/>
      <c r="CH635" s="10"/>
      <c r="CI635" s="10"/>
      <c r="CJ635" s="10"/>
      <c r="CK635" s="10"/>
      <c r="CL635" s="10"/>
      <c r="CM635" s="10"/>
      <c r="CN635" s="10"/>
      <c r="CO635" s="10"/>
      <c r="CP635" s="10"/>
      <c r="CQ635" s="10"/>
      <c r="CR635" s="10"/>
      <c r="CS635" s="10"/>
      <c r="CT635" s="10"/>
      <c r="CU635" s="10"/>
      <c r="CV635" s="10"/>
      <c r="CW635" s="10"/>
      <c r="CX635" s="10"/>
      <c r="CY635" s="10"/>
      <c r="CZ635" s="10"/>
      <c r="DA635" s="10"/>
      <c r="DB635" s="10"/>
      <c r="DC635" s="10"/>
      <c r="DD635" s="10"/>
      <c r="DE635" s="10"/>
      <c r="DF635" s="10"/>
      <c r="DG635" s="10"/>
      <c r="DH635" s="10"/>
      <c r="DI635" s="10"/>
      <c r="DJ635" s="10"/>
      <c r="DK635" s="10"/>
      <c r="DL635" s="10"/>
      <c r="DM635" s="10"/>
      <c r="DN635" s="10"/>
      <c r="DO635" s="10"/>
      <c r="DP635" s="10"/>
    </row>
    <row r="636" spans="3:120" x14ac:dyDescent="0.25">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c r="BF636" s="10"/>
      <c r="BG636" s="10"/>
      <c r="BH636" s="10"/>
      <c r="BI636" s="10"/>
      <c r="BJ636" s="10"/>
      <c r="BK636" s="10"/>
      <c r="BL636" s="10"/>
      <c r="BM636" s="10"/>
      <c r="BN636" s="10"/>
      <c r="BO636" s="10"/>
      <c r="BP636" s="10"/>
      <c r="BQ636" s="10"/>
      <c r="BR636" s="10"/>
      <c r="BS636" s="10"/>
      <c r="BT636" s="10"/>
      <c r="BU636" s="10"/>
      <c r="BV636" s="10"/>
      <c r="BW636" s="10"/>
      <c r="BX636" s="10"/>
      <c r="BY636" s="10"/>
      <c r="BZ636" s="10"/>
      <c r="CA636" s="10"/>
      <c r="CB636" s="10"/>
      <c r="CC636" s="10"/>
      <c r="CD636" s="10"/>
      <c r="CE636" s="10"/>
      <c r="CF636" s="10"/>
      <c r="CG636" s="10"/>
      <c r="CH636" s="10"/>
      <c r="CI636" s="10"/>
      <c r="CJ636" s="10"/>
      <c r="CK636" s="10"/>
      <c r="CL636" s="10"/>
      <c r="CM636" s="10"/>
      <c r="CN636" s="10"/>
      <c r="CO636" s="10"/>
      <c r="CP636" s="10"/>
      <c r="CQ636" s="10"/>
      <c r="CR636" s="10"/>
      <c r="CS636" s="10"/>
      <c r="CT636" s="10"/>
      <c r="CU636" s="10"/>
      <c r="CV636" s="10"/>
      <c r="CW636" s="10"/>
      <c r="CX636" s="10"/>
      <c r="CY636" s="10"/>
      <c r="CZ636" s="10"/>
      <c r="DA636" s="10"/>
      <c r="DB636" s="10"/>
      <c r="DC636" s="10"/>
      <c r="DD636" s="10"/>
      <c r="DE636" s="10"/>
      <c r="DF636" s="10"/>
      <c r="DG636" s="10"/>
      <c r="DH636" s="10"/>
      <c r="DI636" s="10"/>
      <c r="DJ636" s="10"/>
      <c r="DK636" s="10"/>
      <c r="DL636" s="10"/>
      <c r="DM636" s="10"/>
      <c r="DN636" s="10"/>
      <c r="DO636" s="10"/>
      <c r="DP636" s="10"/>
    </row>
    <row r="637" spans="3:120" x14ac:dyDescent="0.25">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c r="BF637" s="10"/>
      <c r="BG637" s="10"/>
      <c r="BH637" s="10"/>
      <c r="BI637" s="10"/>
      <c r="BJ637" s="10"/>
      <c r="BK637" s="10"/>
      <c r="BL637" s="10"/>
      <c r="BM637" s="10"/>
      <c r="BN637" s="10"/>
      <c r="BO637" s="10"/>
      <c r="BP637" s="10"/>
      <c r="BQ637" s="10"/>
      <c r="BR637" s="10"/>
      <c r="BS637" s="10"/>
      <c r="BT637" s="10"/>
      <c r="BU637" s="10"/>
      <c r="BV637" s="10"/>
      <c r="BW637" s="10"/>
      <c r="BX637" s="10"/>
      <c r="BY637" s="10"/>
      <c r="BZ637" s="10"/>
      <c r="CA637" s="10"/>
      <c r="CB637" s="10"/>
      <c r="CC637" s="10"/>
      <c r="CD637" s="10"/>
      <c r="CE637" s="10"/>
      <c r="CF637" s="10"/>
      <c r="CG637" s="10"/>
      <c r="CH637" s="10"/>
      <c r="CI637" s="10"/>
      <c r="CJ637" s="10"/>
      <c r="CK637" s="10"/>
      <c r="CL637" s="10"/>
      <c r="CM637" s="10"/>
      <c r="CN637" s="10"/>
      <c r="CO637" s="10"/>
      <c r="CP637" s="10"/>
      <c r="CQ637" s="10"/>
      <c r="CR637" s="10"/>
      <c r="CS637" s="10"/>
      <c r="CT637" s="10"/>
      <c r="CU637" s="10"/>
      <c r="CV637" s="10"/>
      <c r="CW637" s="10"/>
      <c r="CX637" s="10"/>
      <c r="CY637" s="10"/>
      <c r="CZ637" s="10"/>
      <c r="DA637" s="10"/>
      <c r="DB637" s="10"/>
      <c r="DC637" s="10"/>
      <c r="DD637" s="10"/>
      <c r="DE637" s="10"/>
      <c r="DF637" s="10"/>
      <c r="DG637" s="10"/>
      <c r="DH637" s="10"/>
      <c r="DI637" s="10"/>
      <c r="DJ637" s="10"/>
      <c r="DK637" s="10"/>
      <c r="DL637" s="10"/>
      <c r="DM637" s="10"/>
      <c r="DN637" s="10"/>
      <c r="DO637" s="10"/>
      <c r="DP637" s="10"/>
    </row>
    <row r="638" spans="3:120" x14ac:dyDescent="0.25">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c r="BF638" s="10"/>
      <c r="BG638" s="10"/>
      <c r="BH638" s="10"/>
      <c r="BI638" s="10"/>
      <c r="BJ638" s="10"/>
      <c r="BK638" s="10"/>
      <c r="BL638" s="10"/>
      <c r="BM638" s="10"/>
      <c r="BN638" s="10"/>
      <c r="BO638" s="10"/>
      <c r="BP638" s="10"/>
      <c r="BQ638" s="10"/>
      <c r="BR638" s="10"/>
      <c r="BS638" s="10"/>
      <c r="BT638" s="10"/>
      <c r="BU638" s="10"/>
      <c r="BV638" s="10"/>
      <c r="BW638" s="10"/>
      <c r="BX638" s="10"/>
      <c r="BY638" s="10"/>
      <c r="BZ638" s="10"/>
      <c r="CA638" s="10"/>
      <c r="CB638" s="10"/>
      <c r="CC638" s="10"/>
      <c r="CD638" s="10"/>
      <c r="CE638" s="10"/>
      <c r="CF638" s="10"/>
      <c r="CG638" s="10"/>
      <c r="CH638" s="10"/>
      <c r="CI638" s="10"/>
      <c r="CJ638" s="10"/>
      <c r="CK638" s="10"/>
      <c r="CL638" s="10"/>
      <c r="CM638" s="10"/>
      <c r="CN638" s="10"/>
      <c r="CO638" s="10"/>
      <c r="CP638" s="10"/>
      <c r="CQ638" s="10"/>
      <c r="CR638" s="10"/>
      <c r="CS638" s="10"/>
      <c r="CT638" s="10"/>
      <c r="CU638" s="10"/>
      <c r="CV638" s="10"/>
      <c r="CW638" s="10"/>
      <c r="CX638" s="10"/>
      <c r="CY638" s="10"/>
      <c r="CZ638" s="10"/>
      <c r="DA638" s="10"/>
      <c r="DB638" s="10"/>
      <c r="DC638" s="10"/>
      <c r="DD638" s="10"/>
      <c r="DE638" s="10"/>
      <c r="DF638" s="10"/>
      <c r="DG638" s="10"/>
      <c r="DH638" s="10"/>
      <c r="DI638" s="10"/>
      <c r="DJ638" s="10"/>
      <c r="DK638" s="10"/>
      <c r="DL638" s="10"/>
      <c r="DM638" s="10"/>
      <c r="DN638" s="10"/>
      <c r="DO638" s="10"/>
      <c r="DP638" s="10"/>
    </row>
    <row r="639" spans="3:120" x14ac:dyDescent="0.25">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c r="BF639" s="10"/>
      <c r="BG639" s="10"/>
      <c r="BH639" s="10"/>
      <c r="BI639" s="10"/>
      <c r="BJ639" s="10"/>
      <c r="BK639" s="10"/>
      <c r="BL639" s="10"/>
      <c r="BM639" s="10"/>
      <c r="BN639" s="10"/>
      <c r="BO639" s="10"/>
      <c r="BP639" s="10"/>
      <c r="BQ639" s="10"/>
      <c r="BR639" s="10"/>
      <c r="BS639" s="10"/>
      <c r="BT639" s="10"/>
      <c r="BU639" s="10"/>
      <c r="BV639" s="10"/>
      <c r="BW639" s="10"/>
      <c r="BX639" s="10"/>
      <c r="BY639" s="10"/>
      <c r="BZ639" s="10"/>
      <c r="CA639" s="10"/>
      <c r="CB639" s="10"/>
      <c r="CC639" s="10"/>
      <c r="CD639" s="10"/>
      <c r="CE639" s="10"/>
      <c r="CF639" s="10"/>
      <c r="CG639" s="10"/>
      <c r="CH639" s="10"/>
      <c r="CI639" s="10"/>
      <c r="CJ639" s="10"/>
      <c r="CK639" s="10"/>
      <c r="CL639" s="10"/>
      <c r="CM639" s="10"/>
      <c r="CN639" s="10"/>
      <c r="CO639" s="10"/>
      <c r="CP639" s="10"/>
      <c r="CQ639" s="10"/>
      <c r="CR639" s="10"/>
      <c r="CS639" s="10"/>
      <c r="CT639" s="10"/>
      <c r="CU639" s="10"/>
      <c r="CV639" s="10"/>
      <c r="CW639" s="10"/>
      <c r="CX639" s="10"/>
      <c r="CY639" s="10"/>
      <c r="CZ639" s="10"/>
      <c r="DA639" s="10"/>
      <c r="DB639" s="10"/>
      <c r="DC639" s="10"/>
      <c r="DD639" s="10"/>
      <c r="DE639" s="10"/>
      <c r="DF639" s="10"/>
      <c r="DG639" s="10"/>
      <c r="DH639" s="10"/>
      <c r="DI639" s="10"/>
      <c r="DJ639" s="10"/>
      <c r="DK639" s="10"/>
      <c r="DL639" s="10"/>
      <c r="DM639" s="10"/>
      <c r="DN639" s="10"/>
      <c r="DO639" s="10"/>
      <c r="DP639" s="10"/>
    </row>
    <row r="640" spans="3:120" x14ac:dyDescent="0.25">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c r="BF640" s="10"/>
      <c r="BG640" s="10"/>
      <c r="BH640" s="10"/>
      <c r="BI640" s="10"/>
      <c r="BJ640" s="10"/>
      <c r="BK640" s="10"/>
      <c r="BL640" s="10"/>
      <c r="BM640" s="10"/>
      <c r="BN640" s="10"/>
      <c r="BO640" s="10"/>
      <c r="BP640" s="10"/>
      <c r="BQ640" s="10"/>
      <c r="BR640" s="10"/>
      <c r="BS640" s="10"/>
      <c r="BT640" s="10"/>
      <c r="BU640" s="10"/>
      <c r="BV640" s="10"/>
      <c r="BW640" s="10"/>
      <c r="BX640" s="10"/>
      <c r="BY640" s="10"/>
      <c r="BZ640" s="10"/>
      <c r="CA640" s="10"/>
      <c r="CB640" s="10"/>
      <c r="CC640" s="10"/>
      <c r="CD640" s="10"/>
      <c r="CE640" s="10"/>
      <c r="CF640" s="10"/>
      <c r="CG640" s="10"/>
      <c r="CH640" s="10"/>
      <c r="CI640" s="10"/>
      <c r="CJ640" s="10"/>
      <c r="CK640" s="10"/>
      <c r="CL640" s="10"/>
      <c r="CM640" s="10"/>
      <c r="CN640" s="10"/>
      <c r="CO640" s="10"/>
      <c r="CP640" s="10"/>
      <c r="CQ640" s="10"/>
      <c r="CR640" s="10"/>
      <c r="CS640" s="10"/>
      <c r="CT640" s="10"/>
      <c r="CU640" s="10"/>
      <c r="CV640" s="10"/>
      <c r="CW640" s="10"/>
      <c r="CX640" s="10"/>
      <c r="CY640" s="10"/>
      <c r="CZ640" s="10"/>
      <c r="DA640" s="10"/>
      <c r="DB640" s="10"/>
      <c r="DC640" s="10"/>
      <c r="DD640" s="10"/>
      <c r="DE640" s="10"/>
      <c r="DF640" s="10"/>
      <c r="DG640" s="10"/>
      <c r="DH640" s="10"/>
      <c r="DI640" s="10"/>
      <c r="DJ640" s="10"/>
      <c r="DK640" s="10"/>
      <c r="DL640" s="10"/>
      <c r="DM640" s="10"/>
      <c r="DN640" s="10"/>
      <c r="DO640" s="10"/>
      <c r="DP640" s="10"/>
    </row>
    <row r="641" spans="3:120" x14ac:dyDescent="0.25">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c r="BF641" s="10"/>
      <c r="BG641" s="10"/>
      <c r="BH641" s="10"/>
      <c r="BI641" s="10"/>
      <c r="BJ641" s="10"/>
      <c r="BK641" s="10"/>
      <c r="BL641" s="10"/>
      <c r="BM641" s="10"/>
      <c r="BN641" s="10"/>
      <c r="BO641" s="10"/>
      <c r="BP641" s="10"/>
      <c r="BQ641" s="10"/>
      <c r="BR641" s="10"/>
      <c r="BS641" s="10"/>
      <c r="BT641" s="10"/>
      <c r="BU641" s="10"/>
      <c r="BV641" s="10"/>
      <c r="BW641" s="10"/>
      <c r="BX641" s="10"/>
      <c r="BY641" s="10"/>
      <c r="BZ641" s="10"/>
      <c r="CA641" s="10"/>
      <c r="CB641" s="10"/>
      <c r="CC641" s="10"/>
      <c r="CD641" s="10"/>
      <c r="CE641" s="10"/>
      <c r="CF641" s="10"/>
      <c r="CG641" s="10"/>
      <c r="CH641" s="10"/>
      <c r="CI641" s="10"/>
      <c r="CJ641" s="10"/>
      <c r="CK641" s="10"/>
      <c r="CL641" s="10"/>
      <c r="CM641" s="10"/>
      <c r="CN641" s="10"/>
      <c r="CO641" s="10"/>
      <c r="CP641" s="10"/>
      <c r="CQ641" s="10"/>
      <c r="CR641" s="10"/>
      <c r="CS641" s="10"/>
      <c r="CT641" s="10"/>
      <c r="CU641" s="10"/>
      <c r="CV641" s="10"/>
      <c r="CW641" s="10"/>
      <c r="CX641" s="10"/>
      <c r="CY641" s="10"/>
      <c r="CZ641" s="10"/>
      <c r="DA641" s="10"/>
      <c r="DB641" s="10"/>
      <c r="DC641" s="10"/>
      <c r="DD641" s="10"/>
      <c r="DE641" s="10"/>
      <c r="DF641" s="10"/>
      <c r="DG641" s="10"/>
      <c r="DH641" s="10"/>
      <c r="DI641" s="10"/>
      <c r="DJ641" s="10"/>
      <c r="DK641" s="10"/>
      <c r="DL641" s="10"/>
      <c r="DM641" s="10"/>
      <c r="DN641" s="10"/>
      <c r="DO641" s="10"/>
      <c r="DP641" s="10"/>
    </row>
    <row r="642" spans="3:120" x14ac:dyDescent="0.25">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c r="BF642" s="10"/>
      <c r="BG642" s="10"/>
      <c r="BH642" s="10"/>
      <c r="BI642" s="10"/>
      <c r="BJ642" s="10"/>
      <c r="BK642" s="10"/>
      <c r="BL642" s="10"/>
      <c r="BM642" s="10"/>
      <c r="BN642" s="10"/>
      <c r="BO642" s="10"/>
      <c r="BP642" s="10"/>
      <c r="BQ642" s="10"/>
      <c r="BR642" s="10"/>
      <c r="BS642" s="10"/>
      <c r="BT642" s="10"/>
      <c r="BU642" s="10"/>
      <c r="BV642" s="10"/>
      <c r="BW642" s="10"/>
      <c r="BX642" s="10"/>
      <c r="BY642" s="10"/>
      <c r="BZ642" s="10"/>
      <c r="CA642" s="10"/>
      <c r="CB642" s="10"/>
      <c r="CC642" s="10"/>
      <c r="CD642" s="10"/>
      <c r="CE642" s="10"/>
      <c r="CF642" s="10"/>
      <c r="CG642" s="10"/>
      <c r="CH642" s="10"/>
      <c r="CI642" s="10"/>
      <c r="CJ642" s="10"/>
      <c r="CK642" s="10"/>
      <c r="CL642" s="10"/>
      <c r="CM642" s="10"/>
      <c r="CN642" s="10"/>
      <c r="CO642" s="10"/>
      <c r="CP642" s="10"/>
      <c r="CQ642" s="10"/>
      <c r="CR642" s="10"/>
      <c r="CS642" s="10"/>
      <c r="CT642" s="10"/>
      <c r="CU642" s="10"/>
      <c r="CV642" s="10"/>
      <c r="CW642" s="10"/>
      <c r="CX642" s="10"/>
      <c r="CY642" s="10"/>
      <c r="CZ642" s="10"/>
      <c r="DA642" s="10"/>
      <c r="DB642" s="10"/>
      <c r="DC642" s="10"/>
      <c r="DD642" s="10"/>
      <c r="DE642" s="10"/>
      <c r="DF642" s="10"/>
      <c r="DG642" s="10"/>
      <c r="DH642" s="10"/>
      <c r="DI642" s="10"/>
      <c r="DJ642" s="10"/>
      <c r="DK642" s="10"/>
      <c r="DL642" s="10"/>
      <c r="DM642" s="10"/>
      <c r="DN642" s="10"/>
      <c r="DO642" s="10"/>
      <c r="DP642" s="10"/>
    </row>
    <row r="643" spans="3:120" x14ac:dyDescent="0.25">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c r="BF643" s="10"/>
      <c r="BG643" s="10"/>
      <c r="BH643" s="10"/>
      <c r="BI643" s="10"/>
      <c r="BJ643" s="10"/>
      <c r="BK643" s="10"/>
      <c r="BL643" s="10"/>
      <c r="BM643" s="10"/>
      <c r="BN643" s="10"/>
      <c r="BO643" s="10"/>
      <c r="BP643" s="10"/>
      <c r="BQ643" s="10"/>
      <c r="BR643" s="10"/>
      <c r="BS643" s="10"/>
      <c r="BT643" s="10"/>
      <c r="BU643" s="10"/>
      <c r="BV643" s="10"/>
      <c r="BW643" s="10"/>
      <c r="BX643" s="10"/>
      <c r="BY643" s="10"/>
      <c r="BZ643" s="10"/>
      <c r="CA643" s="10"/>
      <c r="CB643" s="10"/>
      <c r="CC643" s="10"/>
      <c r="CD643" s="10"/>
      <c r="CE643" s="10"/>
      <c r="CF643" s="10"/>
      <c r="CG643" s="10"/>
      <c r="CH643" s="10"/>
      <c r="CI643" s="10"/>
      <c r="CJ643" s="10"/>
      <c r="CK643" s="10"/>
      <c r="CL643" s="10"/>
      <c r="CM643" s="10"/>
      <c r="CN643" s="10"/>
      <c r="CO643" s="10"/>
      <c r="CP643" s="10"/>
      <c r="CQ643" s="10"/>
      <c r="CR643" s="10"/>
      <c r="CS643" s="10"/>
      <c r="CT643" s="10"/>
      <c r="CU643" s="10"/>
      <c r="CV643" s="10"/>
      <c r="CW643" s="10"/>
      <c r="CX643" s="10"/>
      <c r="CY643" s="10"/>
      <c r="CZ643" s="10"/>
      <c r="DA643" s="10"/>
      <c r="DB643" s="10"/>
      <c r="DC643" s="10"/>
      <c r="DD643" s="10"/>
      <c r="DE643" s="10"/>
      <c r="DF643" s="10"/>
      <c r="DG643" s="10"/>
      <c r="DH643" s="10"/>
      <c r="DI643" s="10"/>
      <c r="DJ643" s="10"/>
      <c r="DK643" s="10"/>
      <c r="DL643" s="10"/>
      <c r="DM643" s="10"/>
      <c r="DN643" s="10"/>
      <c r="DO643" s="10"/>
      <c r="DP643" s="10"/>
    </row>
    <row r="644" spans="3:120" x14ac:dyDescent="0.25">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c r="BF644" s="10"/>
      <c r="BG644" s="10"/>
      <c r="BH644" s="10"/>
      <c r="BI644" s="10"/>
      <c r="BJ644" s="10"/>
      <c r="BK644" s="10"/>
      <c r="BL644" s="10"/>
      <c r="BM644" s="10"/>
      <c r="BN644" s="10"/>
      <c r="BO644" s="10"/>
      <c r="BP644" s="10"/>
      <c r="BQ644" s="10"/>
      <c r="BR644" s="10"/>
      <c r="BS644" s="10"/>
      <c r="BT644" s="10"/>
      <c r="BU644" s="10"/>
      <c r="BV644" s="10"/>
      <c r="BW644" s="10"/>
      <c r="BX644" s="10"/>
      <c r="BY644" s="10"/>
      <c r="BZ644" s="10"/>
      <c r="CA644" s="10"/>
      <c r="CB644" s="10"/>
      <c r="CC644" s="10"/>
      <c r="CD644" s="10"/>
      <c r="CE644" s="10"/>
      <c r="CF644" s="10"/>
      <c r="CG644" s="10"/>
      <c r="CH644" s="10"/>
      <c r="CI644" s="10"/>
      <c r="CJ644" s="10"/>
      <c r="CK644" s="10"/>
      <c r="CL644" s="10"/>
      <c r="CM644" s="10"/>
      <c r="CN644" s="10"/>
      <c r="CO644" s="10"/>
      <c r="CP644" s="10"/>
      <c r="CQ644" s="10"/>
      <c r="CR644" s="10"/>
      <c r="CS644" s="10"/>
      <c r="CT644" s="10"/>
      <c r="CU644" s="10"/>
      <c r="CV644" s="10"/>
      <c r="CW644" s="10"/>
      <c r="CX644" s="10"/>
      <c r="CY644" s="10"/>
      <c r="CZ644" s="10"/>
      <c r="DA644" s="10"/>
      <c r="DB644" s="10"/>
      <c r="DC644" s="10"/>
      <c r="DD644" s="10"/>
      <c r="DE644" s="10"/>
      <c r="DF644" s="10"/>
      <c r="DG644" s="10"/>
      <c r="DH644" s="10"/>
      <c r="DI644" s="10"/>
      <c r="DJ644" s="10"/>
      <c r="DK644" s="10"/>
      <c r="DL644" s="10"/>
      <c r="DM644" s="10"/>
      <c r="DN644" s="10"/>
      <c r="DO644" s="10"/>
      <c r="DP644" s="10"/>
    </row>
    <row r="645" spans="3:120" x14ac:dyDescent="0.25">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c r="BF645" s="10"/>
      <c r="BG645" s="10"/>
      <c r="BH645" s="10"/>
      <c r="BI645" s="10"/>
      <c r="BJ645" s="10"/>
      <c r="BK645" s="10"/>
      <c r="BL645" s="10"/>
      <c r="BM645" s="10"/>
      <c r="BN645" s="10"/>
      <c r="BO645" s="10"/>
      <c r="BP645" s="10"/>
      <c r="BQ645" s="10"/>
      <c r="BR645" s="10"/>
      <c r="BS645" s="10"/>
      <c r="BT645" s="10"/>
      <c r="BU645" s="10"/>
      <c r="BV645" s="10"/>
      <c r="BW645" s="10"/>
      <c r="BX645" s="10"/>
      <c r="BY645" s="10"/>
      <c r="BZ645" s="10"/>
      <c r="CA645" s="10"/>
      <c r="CB645" s="10"/>
      <c r="CC645" s="10"/>
      <c r="CD645" s="10"/>
      <c r="CE645" s="10"/>
      <c r="CF645" s="10"/>
      <c r="CG645" s="10"/>
      <c r="CH645" s="10"/>
      <c r="CI645" s="10"/>
      <c r="CJ645" s="10"/>
      <c r="CK645" s="10"/>
      <c r="CL645" s="10"/>
      <c r="CM645" s="10"/>
      <c r="CN645" s="10"/>
      <c r="CO645" s="10"/>
      <c r="CP645" s="10"/>
      <c r="CQ645" s="10"/>
      <c r="CR645" s="10"/>
      <c r="CS645" s="10"/>
      <c r="CT645" s="10"/>
      <c r="CU645" s="10"/>
      <c r="CV645" s="10"/>
      <c r="CW645" s="10"/>
      <c r="CX645" s="10"/>
      <c r="CY645" s="10"/>
      <c r="CZ645" s="10"/>
      <c r="DA645" s="10"/>
      <c r="DB645" s="10"/>
      <c r="DC645" s="10"/>
      <c r="DD645" s="10"/>
      <c r="DE645" s="10"/>
      <c r="DF645" s="10"/>
      <c r="DG645" s="10"/>
      <c r="DH645" s="10"/>
      <c r="DI645" s="10"/>
      <c r="DJ645" s="10"/>
      <c r="DK645" s="10"/>
      <c r="DL645" s="10"/>
      <c r="DM645" s="10"/>
      <c r="DN645" s="10"/>
      <c r="DO645" s="10"/>
      <c r="DP645" s="10"/>
    </row>
    <row r="646" spans="3:120" x14ac:dyDescent="0.25">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c r="BF646" s="10"/>
      <c r="BG646" s="10"/>
      <c r="BH646" s="10"/>
      <c r="BI646" s="10"/>
      <c r="BJ646" s="10"/>
      <c r="BK646" s="10"/>
      <c r="BL646" s="10"/>
      <c r="BM646" s="10"/>
      <c r="BN646" s="10"/>
      <c r="BO646" s="10"/>
      <c r="BP646" s="10"/>
      <c r="BQ646" s="10"/>
      <c r="BR646" s="10"/>
      <c r="BS646" s="10"/>
      <c r="BT646" s="10"/>
      <c r="BU646" s="10"/>
      <c r="BV646" s="10"/>
      <c r="BW646" s="10"/>
      <c r="BX646" s="10"/>
      <c r="BY646" s="10"/>
      <c r="BZ646" s="10"/>
      <c r="CA646" s="10"/>
      <c r="CB646" s="10"/>
      <c r="CC646" s="10"/>
      <c r="CD646" s="10"/>
      <c r="CE646" s="10"/>
      <c r="CF646" s="10"/>
      <c r="CG646" s="10"/>
      <c r="CH646" s="10"/>
      <c r="CI646" s="10"/>
      <c r="CJ646" s="10"/>
      <c r="CK646" s="10"/>
      <c r="CL646" s="10"/>
      <c r="CM646" s="10"/>
      <c r="CN646" s="10"/>
      <c r="CO646" s="10"/>
      <c r="CP646" s="10"/>
      <c r="CQ646" s="10"/>
      <c r="CR646" s="10"/>
      <c r="CS646" s="10"/>
      <c r="CT646" s="10"/>
      <c r="CU646" s="10"/>
      <c r="CV646" s="10"/>
      <c r="CW646" s="10"/>
      <c r="CX646" s="10"/>
      <c r="CY646" s="10"/>
      <c r="CZ646" s="10"/>
      <c r="DA646" s="10"/>
      <c r="DB646" s="10"/>
      <c r="DC646" s="10"/>
      <c r="DD646" s="10"/>
      <c r="DE646" s="10"/>
      <c r="DF646" s="10"/>
      <c r="DG646" s="10"/>
      <c r="DH646" s="10"/>
      <c r="DI646" s="10"/>
      <c r="DJ646" s="10"/>
      <c r="DK646" s="10"/>
      <c r="DL646" s="10"/>
      <c r="DM646" s="10"/>
      <c r="DN646" s="10"/>
      <c r="DO646" s="10"/>
      <c r="DP646" s="10"/>
    </row>
    <row r="647" spans="3:120" x14ac:dyDescent="0.25">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c r="BF647" s="10"/>
      <c r="BG647" s="10"/>
      <c r="BH647" s="10"/>
      <c r="BI647" s="10"/>
      <c r="BJ647" s="10"/>
      <c r="BK647" s="10"/>
      <c r="BL647" s="10"/>
      <c r="BM647" s="10"/>
      <c r="BN647" s="10"/>
      <c r="BO647" s="10"/>
      <c r="BP647" s="10"/>
      <c r="BQ647" s="10"/>
      <c r="BR647" s="10"/>
      <c r="BS647" s="10"/>
      <c r="BT647" s="10"/>
      <c r="BU647" s="10"/>
      <c r="BV647" s="10"/>
      <c r="BW647" s="10"/>
      <c r="BX647" s="10"/>
      <c r="BY647" s="10"/>
      <c r="BZ647" s="10"/>
      <c r="CA647" s="10"/>
      <c r="CB647" s="10"/>
      <c r="CC647" s="10"/>
      <c r="CD647" s="10"/>
      <c r="CE647" s="10"/>
      <c r="CF647" s="10"/>
      <c r="CG647" s="10"/>
      <c r="CH647" s="10"/>
      <c r="CI647" s="10"/>
      <c r="CJ647" s="10"/>
      <c r="CK647" s="10"/>
      <c r="CL647" s="10"/>
      <c r="CM647" s="10"/>
      <c r="CN647" s="10"/>
      <c r="CO647" s="10"/>
      <c r="CP647" s="10"/>
      <c r="CQ647" s="10"/>
      <c r="CR647" s="10"/>
      <c r="CS647" s="10"/>
      <c r="CT647" s="10"/>
      <c r="CU647" s="10"/>
      <c r="CV647" s="10"/>
      <c r="CW647" s="10"/>
      <c r="CX647" s="10"/>
      <c r="CY647" s="10"/>
      <c r="CZ647" s="10"/>
      <c r="DA647" s="10"/>
      <c r="DB647" s="10"/>
      <c r="DC647" s="10"/>
      <c r="DD647" s="10"/>
      <c r="DE647" s="10"/>
      <c r="DF647" s="10"/>
      <c r="DG647" s="10"/>
      <c r="DH647" s="10"/>
      <c r="DI647" s="10"/>
      <c r="DJ647" s="10"/>
      <c r="DK647" s="10"/>
      <c r="DL647" s="10"/>
      <c r="DM647" s="10"/>
      <c r="DN647" s="10"/>
      <c r="DO647" s="10"/>
      <c r="DP647" s="10"/>
    </row>
    <row r="648" spans="3:120" x14ac:dyDescent="0.25">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c r="BF648" s="10"/>
      <c r="BG648" s="10"/>
      <c r="BH648" s="10"/>
      <c r="BI648" s="10"/>
      <c r="BJ648" s="10"/>
      <c r="BK648" s="10"/>
      <c r="BL648" s="10"/>
      <c r="BM648" s="10"/>
      <c r="BN648" s="10"/>
      <c r="BO648" s="10"/>
      <c r="BP648" s="10"/>
      <c r="BQ648" s="10"/>
      <c r="BR648" s="10"/>
      <c r="BS648" s="10"/>
      <c r="BT648" s="10"/>
      <c r="BU648" s="10"/>
      <c r="BV648" s="10"/>
      <c r="BW648" s="10"/>
      <c r="BX648" s="10"/>
      <c r="BY648" s="10"/>
      <c r="BZ648" s="10"/>
      <c r="CA648" s="10"/>
      <c r="CB648" s="10"/>
      <c r="CC648" s="10"/>
      <c r="CD648" s="10"/>
      <c r="CE648" s="10"/>
      <c r="CF648" s="10"/>
      <c r="CG648" s="10"/>
      <c r="CH648" s="10"/>
      <c r="CI648" s="10"/>
      <c r="CJ648" s="10"/>
      <c r="CK648" s="10"/>
      <c r="CL648" s="10"/>
      <c r="CM648" s="10"/>
      <c r="CN648" s="10"/>
      <c r="CO648" s="10"/>
      <c r="CP648" s="10"/>
      <c r="CQ648" s="10"/>
      <c r="CR648" s="10"/>
      <c r="CS648" s="10"/>
      <c r="CT648" s="10"/>
      <c r="CU648" s="10"/>
      <c r="CV648" s="10"/>
      <c r="CW648" s="10"/>
      <c r="CX648" s="10"/>
      <c r="CY648" s="10"/>
      <c r="CZ648" s="10"/>
      <c r="DA648" s="10"/>
      <c r="DB648" s="10"/>
      <c r="DC648" s="10"/>
      <c r="DD648" s="10"/>
      <c r="DE648" s="10"/>
      <c r="DF648" s="10"/>
      <c r="DG648" s="10"/>
      <c r="DH648" s="10"/>
      <c r="DI648" s="10"/>
      <c r="DJ648" s="10"/>
      <c r="DK648" s="10"/>
      <c r="DL648" s="10"/>
      <c r="DM648" s="10"/>
      <c r="DN648" s="10"/>
      <c r="DO648" s="10"/>
      <c r="DP648" s="10"/>
    </row>
    <row r="649" spans="3:120" x14ac:dyDescent="0.25">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10"/>
      <c r="BK649" s="10"/>
      <c r="BL649" s="10"/>
      <c r="BM649" s="10"/>
      <c r="BN649" s="10"/>
      <c r="BO649" s="10"/>
      <c r="BP649" s="10"/>
      <c r="BQ649" s="10"/>
      <c r="BR649" s="10"/>
      <c r="BS649" s="10"/>
      <c r="BT649" s="10"/>
      <c r="BU649" s="10"/>
      <c r="BV649" s="10"/>
      <c r="BW649" s="10"/>
      <c r="BX649" s="10"/>
      <c r="BY649" s="10"/>
      <c r="BZ649" s="10"/>
      <c r="CA649" s="10"/>
      <c r="CB649" s="10"/>
      <c r="CC649" s="10"/>
      <c r="CD649" s="10"/>
      <c r="CE649" s="10"/>
      <c r="CF649" s="10"/>
      <c r="CG649" s="10"/>
      <c r="CH649" s="10"/>
      <c r="CI649" s="10"/>
      <c r="CJ649" s="10"/>
      <c r="CK649" s="10"/>
      <c r="CL649" s="10"/>
      <c r="CM649" s="10"/>
      <c r="CN649" s="10"/>
      <c r="CO649" s="10"/>
      <c r="CP649" s="10"/>
      <c r="CQ649" s="10"/>
      <c r="CR649" s="10"/>
      <c r="CS649" s="10"/>
      <c r="CT649" s="10"/>
      <c r="CU649" s="10"/>
      <c r="CV649" s="10"/>
      <c r="CW649" s="10"/>
      <c r="CX649" s="10"/>
      <c r="CY649" s="10"/>
      <c r="CZ649" s="10"/>
      <c r="DA649" s="10"/>
      <c r="DB649" s="10"/>
      <c r="DC649" s="10"/>
      <c r="DD649" s="10"/>
      <c r="DE649" s="10"/>
      <c r="DF649" s="10"/>
      <c r="DG649" s="10"/>
      <c r="DH649" s="10"/>
      <c r="DI649" s="10"/>
      <c r="DJ649" s="10"/>
      <c r="DK649" s="10"/>
      <c r="DL649" s="10"/>
      <c r="DM649" s="10"/>
      <c r="DN649" s="10"/>
      <c r="DO649" s="10"/>
      <c r="DP649" s="10"/>
    </row>
    <row r="650" spans="3:120" x14ac:dyDescent="0.25">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c r="BF650" s="10"/>
      <c r="BG650" s="10"/>
      <c r="BH650" s="10"/>
      <c r="BI650" s="10"/>
      <c r="BJ650" s="10"/>
      <c r="BK650" s="10"/>
      <c r="BL650" s="10"/>
      <c r="BM650" s="10"/>
      <c r="BN650" s="10"/>
      <c r="BO650" s="10"/>
      <c r="BP650" s="10"/>
      <c r="BQ650" s="10"/>
      <c r="BR650" s="10"/>
      <c r="BS650" s="10"/>
      <c r="BT650" s="10"/>
      <c r="BU650" s="10"/>
      <c r="BV650" s="10"/>
      <c r="BW650" s="10"/>
      <c r="BX650" s="10"/>
      <c r="BY650" s="10"/>
      <c r="BZ650" s="10"/>
      <c r="CA650" s="10"/>
      <c r="CB650" s="10"/>
      <c r="CC650" s="10"/>
      <c r="CD650" s="10"/>
      <c r="CE650" s="10"/>
      <c r="CF650" s="10"/>
      <c r="CG650" s="10"/>
      <c r="CH650" s="10"/>
      <c r="CI650" s="10"/>
      <c r="CJ650" s="10"/>
      <c r="CK650" s="10"/>
      <c r="CL650" s="10"/>
      <c r="CM650" s="10"/>
      <c r="CN650" s="10"/>
      <c r="CO650" s="10"/>
      <c r="CP650" s="10"/>
      <c r="CQ650" s="10"/>
      <c r="CR650" s="10"/>
      <c r="CS650" s="10"/>
      <c r="CT650" s="10"/>
      <c r="CU650" s="10"/>
      <c r="CV650" s="10"/>
      <c r="CW650" s="10"/>
      <c r="CX650" s="10"/>
      <c r="CY650" s="10"/>
      <c r="CZ650" s="10"/>
      <c r="DA650" s="10"/>
      <c r="DB650" s="10"/>
      <c r="DC650" s="10"/>
      <c r="DD650" s="10"/>
      <c r="DE650" s="10"/>
      <c r="DF650" s="10"/>
      <c r="DG650" s="10"/>
      <c r="DH650" s="10"/>
      <c r="DI650" s="10"/>
      <c r="DJ650" s="10"/>
      <c r="DK650" s="10"/>
      <c r="DL650" s="10"/>
      <c r="DM650" s="10"/>
      <c r="DN650" s="10"/>
      <c r="DO650" s="10"/>
      <c r="DP650" s="10"/>
    </row>
    <row r="651" spans="3:120" x14ac:dyDescent="0.25">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c r="BF651" s="10"/>
      <c r="BG651" s="10"/>
      <c r="BH651" s="10"/>
      <c r="BI651" s="10"/>
      <c r="BJ651" s="10"/>
      <c r="BK651" s="10"/>
      <c r="BL651" s="10"/>
      <c r="BM651" s="10"/>
      <c r="BN651" s="10"/>
      <c r="BO651" s="10"/>
      <c r="BP651" s="10"/>
      <c r="BQ651" s="10"/>
      <c r="BR651" s="10"/>
      <c r="BS651" s="10"/>
      <c r="BT651" s="10"/>
      <c r="BU651" s="10"/>
      <c r="BV651" s="10"/>
      <c r="BW651" s="10"/>
      <c r="BX651" s="10"/>
      <c r="BY651" s="10"/>
      <c r="BZ651" s="10"/>
      <c r="CA651" s="10"/>
      <c r="CB651" s="10"/>
      <c r="CC651" s="10"/>
      <c r="CD651" s="10"/>
      <c r="CE651" s="10"/>
      <c r="CF651" s="10"/>
      <c r="CG651" s="10"/>
      <c r="CH651" s="10"/>
      <c r="CI651" s="10"/>
      <c r="CJ651" s="10"/>
      <c r="CK651" s="10"/>
      <c r="CL651" s="10"/>
      <c r="CM651" s="10"/>
      <c r="CN651" s="10"/>
      <c r="CO651" s="10"/>
      <c r="CP651" s="10"/>
      <c r="CQ651" s="10"/>
      <c r="CR651" s="10"/>
      <c r="CS651" s="10"/>
      <c r="CT651" s="10"/>
      <c r="CU651" s="10"/>
      <c r="CV651" s="10"/>
      <c r="CW651" s="10"/>
      <c r="CX651" s="10"/>
      <c r="CY651" s="10"/>
      <c r="CZ651" s="10"/>
      <c r="DA651" s="10"/>
      <c r="DB651" s="10"/>
      <c r="DC651" s="10"/>
      <c r="DD651" s="10"/>
      <c r="DE651" s="10"/>
      <c r="DF651" s="10"/>
      <c r="DG651" s="10"/>
      <c r="DH651" s="10"/>
      <c r="DI651" s="10"/>
      <c r="DJ651" s="10"/>
      <c r="DK651" s="10"/>
      <c r="DL651" s="10"/>
      <c r="DM651" s="10"/>
      <c r="DN651" s="10"/>
      <c r="DO651" s="10"/>
      <c r="DP651" s="10"/>
    </row>
    <row r="652" spans="3:120" x14ac:dyDescent="0.25">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c r="BF652" s="10"/>
      <c r="BG652" s="10"/>
      <c r="BH652" s="10"/>
      <c r="BI652" s="10"/>
      <c r="BJ652" s="10"/>
      <c r="BK652" s="10"/>
      <c r="BL652" s="10"/>
      <c r="BM652" s="10"/>
      <c r="BN652" s="10"/>
      <c r="BO652" s="10"/>
      <c r="BP652" s="10"/>
      <c r="BQ652" s="10"/>
      <c r="BR652" s="10"/>
      <c r="BS652" s="10"/>
      <c r="BT652" s="10"/>
      <c r="BU652" s="10"/>
      <c r="BV652" s="10"/>
      <c r="BW652" s="10"/>
      <c r="BX652" s="10"/>
      <c r="BY652" s="10"/>
      <c r="BZ652" s="10"/>
      <c r="CA652" s="10"/>
      <c r="CB652" s="10"/>
      <c r="CC652" s="10"/>
      <c r="CD652" s="10"/>
      <c r="CE652" s="10"/>
      <c r="CF652" s="10"/>
      <c r="CG652" s="10"/>
      <c r="CH652" s="10"/>
      <c r="CI652" s="10"/>
      <c r="CJ652" s="10"/>
      <c r="CK652" s="10"/>
      <c r="CL652" s="10"/>
      <c r="CM652" s="10"/>
      <c r="CN652" s="10"/>
      <c r="CO652" s="10"/>
      <c r="CP652" s="10"/>
      <c r="CQ652" s="10"/>
      <c r="CR652" s="10"/>
      <c r="CS652" s="10"/>
      <c r="CT652" s="10"/>
      <c r="CU652" s="10"/>
      <c r="CV652" s="10"/>
      <c r="CW652" s="10"/>
      <c r="CX652" s="10"/>
      <c r="CY652" s="10"/>
      <c r="CZ652" s="10"/>
      <c r="DA652" s="10"/>
      <c r="DB652" s="10"/>
      <c r="DC652" s="10"/>
      <c r="DD652" s="10"/>
      <c r="DE652" s="10"/>
      <c r="DF652" s="10"/>
      <c r="DG652" s="10"/>
      <c r="DH652" s="10"/>
      <c r="DI652" s="10"/>
      <c r="DJ652" s="10"/>
      <c r="DK652" s="10"/>
      <c r="DL652" s="10"/>
      <c r="DM652" s="10"/>
      <c r="DN652" s="10"/>
      <c r="DO652" s="10"/>
      <c r="DP652" s="10"/>
    </row>
    <row r="653" spans="3:120" x14ac:dyDescent="0.25">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10"/>
      <c r="BO653" s="10"/>
      <c r="BP653" s="10"/>
      <c r="BQ653" s="10"/>
      <c r="BR653" s="10"/>
      <c r="BS653" s="10"/>
      <c r="BT653" s="10"/>
      <c r="BU653" s="10"/>
      <c r="BV653" s="10"/>
      <c r="BW653" s="10"/>
      <c r="BX653" s="10"/>
      <c r="BY653" s="10"/>
      <c r="BZ653" s="10"/>
      <c r="CA653" s="10"/>
      <c r="CB653" s="10"/>
      <c r="CC653" s="10"/>
      <c r="CD653" s="10"/>
      <c r="CE653" s="10"/>
      <c r="CF653" s="10"/>
      <c r="CG653" s="10"/>
      <c r="CH653" s="10"/>
      <c r="CI653" s="10"/>
      <c r="CJ653" s="10"/>
      <c r="CK653" s="10"/>
      <c r="CL653" s="10"/>
      <c r="CM653" s="10"/>
      <c r="CN653" s="10"/>
      <c r="CO653" s="10"/>
      <c r="CP653" s="10"/>
      <c r="CQ653" s="10"/>
      <c r="CR653" s="10"/>
      <c r="CS653" s="10"/>
      <c r="CT653" s="10"/>
      <c r="CU653" s="10"/>
      <c r="CV653" s="10"/>
      <c r="CW653" s="10"/>
      <c r="CX653" s="10"/>
      <c r="CY653" s="10"/>
      <c r="CZ653" s="10"/>
      <c r="DA653" s="10"/>
      <c r="DB653" s="10"/>
      <c r="DC653" s="10"/>
      <c r="DD653" s="10"/>
      <c r="DE653" s="10"/>
      <c r="DF653" s="10"/>
      <c r="DG653" s="10"/>
      <c r="DH653" s="10"/>
      <c r="DI653" s="10"/>
      <c r="DJ653" s="10"/>
      <c r="DK653" s="10"/>
      <c r="DL653" s="10"/>
      <c r="DM653" s="10"/>
      <c r="DN653" s="10"/>
      <c r="DO653" s="10"/>
      <c r="DP653" s="10"/>
    </row>
  </sheetData>
  <phoneticPr fontId="11"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workbookViewId="0">
      <selection activeCell="M21" sqref="M21"/>
    </sheetView>
  </sheetViews>
  <sheetFormatPr defaultRowHeight="13.2" x14ac:dyDescent="0.25"/>
  <cols>
    <col min="1" max="1" width="17.6640625" customWidth="1"/>
    <col min="13" max="14" width="10.109375" bestFit="1" customWidth="1"/>
    <col min="15" max="15" width="14.6640625" customWidth="1"/>
    <col min="16" max="16" width="10.77734375" customWidth="1"/>
    <col min="17" max="17" width="10.109375" customWidth="1"/>
    <col min="18" max="18" width="10.77734375" customWidth="1"/>
    <col min="19" max="19" width="11" customWidth="1"/>
    <col min="20" max="20" width="11.5546875" customWidth="1"/>
    <col min="21" max="21" width="10.21875" customWidth="1"/>
    <col min="22" max="22" width="10.109375" customWidth="1"/>
    <col min="23" max="23" width="11" customWidth="1"/>
    <col min="24" max="24" width="10.109375" customWidth="1"/>
  </cols>
  <sheetData>
    <row r="1" spans="1:25" ht="13.8" thickBot="1" x14ac:dyDescent="0.3">
      <c r="L1" s="108" t="s">
        <v>549</v>
      </c>
      <c r="M1" s="108"/>
      <c r="N1" s="108"/>
      <c r="O1" s="108"/>
      <c r="P1" s="108"/>
      <c r="Q1" s="108"/>
      <c r="R1" s="109"/>
    </row>
    <row r="2" spans="1:25" hidden="1" x14ac:dyDescent="0.25">
      <c r="A2" s="9" t="s">
        <v>233</v>
      </c>
      <c r="L2" s="109"/>
      <c r="M2" s="109"/>
    </row>
    <row r="3" spans="1:25" hidden="1" x14ac:dyDescent="0.25">
      <c r="A3" s="9" t="s">
        <v>335</v>
      </c>
      <c r="L3" s="109"/>
      <c r="M3" s="109"/>
    </row>
    <row r="4" spans="1:25" hidden="1" x14ac:dyDescent="0.25">
      <c r="A4" s="9"/>
      <c r="L4" s="109"/>
      <c r="M4" s="109"/>
    </row>
    <row r="5" spans="1:25" hidden="1" x14ac:dyDescent="0.25">
      <c r="A5" s="31">
        <v>1019353</v>
      </c>
      <c r="L5" s="109"/>
      <c r="M5" s="109"/>
    </row>
    <row r="6" spans="1:25" hidden="1" x14ac:dyDescent="0.25">
      <c r="B6" s="11" t="s">
        <v>348</v>
      </c>
      <c r="C6" s="11" t="s">
        <v>338</v>
      </c>
      <c r="D6" s="11" t="s">
        <v>339</v>
      </c>
      <c r="E6" s="11" t="s">
        <v>340</v>
      </c>
      <c r="F6" s="11" t="s">
        <v>341</v>
      </c>
      <c r="G6" s="11" t="s">
        <v>342</v>
      </c>
      <c r="H6" s="11" t="s">
        <v>343</v>
      </c>
      <c r="I6" s="11" t="s">
        <v>344</v>
      </c>
      <c r="J6" s="11" t="s">
        <v>346</v>
      </c>
      <c r="K6" s="11" t="s">
        <v>345</v>
      </c>
      <c r="L6" s="111" t="s">
        <v>347</v>
      </c>
      <c r="M6" s="111" t="s">
        <v>349</v>
      </c>
      <c r="N6" s="11" t="s">
        <v>350</v>
      </c>
      <c r="O6" s="11" t="s">
        <v>351</v>
      </c>
    </row>
    <row r="7" spans="1:25" hidden="1" x14ac:dyDescent="0.25">
      <c r="A7" s="11" t="s">
        <v>336</v>
      </c>
      <c r="L7" s="109"/>
      <c r="M7" s="109"/>
      <c r="N7" s="30">
        <f>SUM(B7:M7)</f>
        <v>0</v>
      </c>
      <c r="O7" s="30" t="e">
        <f>AVERAGE(B7:M7)*12</f>
        <v>#DIV/0!</v>
      </c>
    </row>
    <row r="8" spans="1:25" hidden="1" x14ac:dyDescent="0.25">
      <c r="A8" s="11" t="s">
        <v>337</v>
      </c>
      <c r="L8" s="109"/>
      <c r="M8" s="109"/>
      <c r="N8" s="30">
        <f>SUM(B8:M8)</f>
        <v>0</v>
      </c>
      <c r="O8" s="30" t="e">
        <f>AVERAGE(B8:M8)*12</f>
        <v>#DIV/0!</v>
      </c>
    </row>
    <row r="9" spans="1:25" hidden="1" x14ac:dyDescent="0.25">
      <c r="L9" s="109"/>
      <c r="M9" s="109"/>
    </row>
    <row r="10" spans="1:25" hidden="1" x14ac:dyDescent="0.25">
      <c r="A10" s="11" t="s">
        <v>352</v>
      </c>
      <c r="B10" t="e">
        <f>SUM(1019353/O7)</f>
        <v>#DIV/0!</v>
      </c>
      <c r="L10" s="109"/>
      <c r="M10" s="109"/>
    </row>
    <row r="11" spans="1:25" hidden="1" x14ac:dyDescent="0.25">
      <c r="A11" s="11" t="s">
        <v>337</v>
      </c>
      <c r="B11" t="e">
        <f>SUM(1019353/O8)</f>
        <v>#DIV/0!</v>
      </c>
      <c r="L11" s="109"/>
      <c r="M11" s="109"/>
    </row>
    <row r="12" spans="1:25" hidden="1" x14ac:dyDescent="0.25">
      <c r="L12" s="109"/>
      <c r="M12" s="109"/>
    </row>
    <row r="13" spans="1:25" hidden="1" x14ac:dyDescent="0.25">
      <c r="L13" s="109"/>
      <c r="M13" s="109"/>
    </row>
    <row r="14" spans="1:25" x14ac:dyDescent="0.25">
      <c r="A14" s="89" t="s">
        <v>360</v>
      </c>
      <c r="B14" s="90"/>
      <c r="C14" s="90"/>
      <c r="D14" s="90"/>
      <c r="E14" s="90"/>
      <c r="F14" s="90"/>
      <c r="G14" s="90"/>
      <c r="H14" s="91"/>
      <c r="I14" s="108" t="s">
        <v>229</v>
      </c>
      <c r="J14" s="108"/>
      <c r="K14" s="109"/>
      <c r="L14" s="114">
        <v>353978</v>
      </c>
      <c r="M14" s="109"/>
      <c r="N14" s="109"/>
      <c r="O14" s="109"/>
      <c r="P14" s="109"/>
      <c r="Q14" s="109"/>
      <c r="R14" s="109"/>
      <c r="S14" s="109"/>
      <c r="T14" s="109"/>
      <c r="U14" s="109"/>
      <c r="V14" s="109"/>
      <c r="W14" s="109"/>
      <c r="X14" s="109"/>
      <c r="Y14" s="109"/>
    </row>
    <row r="15" spans="1:25" x14ac:dyDescent="0.25">
      <c r="A15" s="92"/>
      <c r="B15" s="93"/>
      <c r="C15" s="93"/>
      <c r="D15" s="93"/>
      <c r="E15" s="93"/>
      <c r="F15" s="93"/>
      <c r="G15" s="93"/>
      <c r="H15" s="94"/>
      <c r="I15" s="109"/>
      <c r="J15" s="109"/>
      <c r="K15" s="109"/>
      <c r="L15" s="109"/>
      <c r="M15" s="110" t="s">
        <v>87</v>
      </c>
      <c r="N15" s="110" t="s">
        <v>88</v>
      </c>
      <c r="O15" s="110" t="s">
        <v>89</v>
      </c>
      <c r="P15" s="110" t="s">
        <v>15</v>
      </c>
      <c r="Q15" s="110" t="s">
        <v>16</v>
      </c>
      <c r="R15" s="110" t="s">
        <v>17</v>
      </c>
      <c r="S15" s="110" t="s">
        <v>33</v>
      </c>
      <c r="T15" s="110" t="s">
        <v>34</v>
      </c>
      <c r="U15" s="110" t="s">
        <v>35</v>
      </c>
      <c r="V15" s="110" t="s">
        <v>541</v>
      </c>
      <c r="W15" s="110" t="s">
        <v>540</v>
      </c>
      <c r="X15" s="110" t="s">
        <v>38</v>
      </c>
      <c r="Y15" s="110" t="s">
        <v>350</v>
      </c>
    </row>
    <row r="16" spans="1:25" ht="13.8" thickBot="1" x14ac:dyDescent="0.3">
      <c r="A16" s="92" t="s">
        <v>361</v>
      </c>
      <c r="B16" s="93"/>
      <c r="C16" s="95" t="s">
        <v>538</v>
      </c>
      <c r="D16" s="93"/>
      <c r="E16" s="93"/>
      <c r="F16" s="93"/>
      <c r="G16" s="93"/>
      <c r="H16" s="94"/>
      <c r="I16" s="111" t="s">
        <v>548</v>
      </c>
      <c r="J16" s="109"/>
      <c r="K16" s="109"/>
      <c r="L16" s="109"/>
      <c r="M16" s="112">
        <v>73</v>
      </c>
      <c r="N16" s="109">
        <v>80</v>
      </c>
      <c r="O16" s="109">
        <v>92</v>
      </c>
      <c r="P16" s="109">
        <v>89</v>
      </c>
      <c r="Q16" s="109">
        <v>90</v>
      </c>
      <c r="R16" s="109">
        <v>85</v>
      </c>
      <c r="S16" s="109">
        <v>96</v>
      </c>
      <c r="T16" s="109">
        <v>121</v>
      </c>
      <c r="U16" s="109">
        <v>114</v>
      </c>
      <c r="V16" s="109">
        <v>102</v>
      </c>
      <c r="W16" s="109">
        <v>91</v>
      </c>
      <c r="X16" s="109">
        <v>82</v>
      </c>
      <c r="Y16" s="109"/>
    </row>
    <row r="17" spans="1:25" x14ac:dyDescent="0.25">
      <c r="A17" s="96">
        <v>63069</v>
      </c>
      <c r="B17" s="93"/>
      <c r="C17" s="93"/>
      <c r="D17" s="93"/>
      <c r="E17" s="93"/>
      <c r="F17" s="93"/>
      <c r="G17" s="93"/>
      <c r="H17" s="93"/>
      <c r="I17" s="90"/>
      <c r="J17" s="90"/>
      <c r="K17" s="90"/>
      <c r="L17" s="90"/>
      <c r="M17" s="90"/>
      <c r="N17" s="91"/>
    </row>
    <row r="18" spans="1:25" x14ac:dyDescent="0.25">
      <c r="A18" s="97">
        <v>1248686</v>
      </c>
      <c r="B18" s="106" t="s">
        <v>87</v>
      </c>
      <c r="C18" s="106" t="s">
        <v>88</v>
      </c>
      <c r="D18" s="106" t="s">
        <v>89</v>
      </c>
      <c r="E18" s="106" t="s">
        <v>15</v>
      </c>
      <c r="F18" s="106" t="s">
        <v>16</v>
      </c>
      <c r="G18" s="106" t="s">
        <v>17</v>
      </c>
      <c r="H18" s="106" t="s">
        <v>33</v>
      </c>
      <c r="I18" s="106" t="s">
        <v>34</v>
      </c>
      <c r="J18" s="106" t="s">
        <v>35</v>
      </c>
      <c r="K18" s="106" t="s">
        <v>36</v>
      </c>
      <c r="L18" s="106" t="s">
        <v>540</v>
      </c>
      <c r="M18" s="106" t="s">
        <v>38</v>
      </c>
      <c r="N18" s="107" t="s">
        <v>350</v>
      </c>
    </row>
    <row r="19" spans="1:25" x14ac:dyDescent="0.25">
      <c r="A19" s="98" t="s">
        <v>362</v>
      </c>
      <c r="B19" s="102">
        <v>11252</v>
      </c>
      <c r="C19" s="102">
        <v>10780</v>
      </c>
      <c r="D19" s="102">
        <v>8065</v>
      </c>
      <c r="E19" s="102">
        <v>10199</v>
      </c>
      <c r="F19" s="102">
        <v>7741</v>
      </c>
      <c r="G19" s="102">
        <v>6793</v>
      </c>
      <c r="H19" s="102">
        <v>8626</v>
      </c>
      <c r="I19" s="102">
        <v>8153</v>
      </c>
      <c r="J19" s="102">
        <v>8688</v>
      </c>
      <c r="K19" s="102">
        <v>8819</v>
      </c>
      <c r="L19" s="102">
        <v>9075</v>
      </c>
      <c r="M19" s="102">
        <v>9967</v>
      </c>
      <c r="N19" s="103">
        <f>AVERAGE(B19:M19)*12</f>
        <v>108158</v>
      </c>
    </row>
    <row r="20" spans="1:25" ht="13.8" thickBot="1" x14ac:dyDescent="0.3">
      <c r="A20" s="98" t="s">
        <v>363</v>
      </c>
      <c r="B20" s="102">
        <v>13704</v>
      </c>
      <c r="C20" s="102">
        <v>13287</v>
      </c>
      <c r="D20" s="102">
        <v>10473</v>
      </c>
      <c r="E20" s="102">
        <v>12645</v>
      </c>
      <c r="F20" s="102">
        <v>9738</v>
      </c>
      <c r="G20" s="102">
        <v>8689</v>
      </c>
      <c r="H20" s="102">
        <v>11144</v>
      </c>
      <c r="I20" s="104">
        <v>10389</v>
      </c>
      <c r="J20" s="104">
        <v>11080</v>
      </c>
      <c r="K20" s="104">
        <v>11153</v>
      </c>
      <c r="L20" s="104">
        <v>11365</v>
      </c>
      <c r="M20" s="104">
        <v>11599</v>
      </c>
      <c r="N20" s="105">
        <f>AVERAGE(B20:M20)*12</f>
        <v>135266</v>
      </c>
    </row>
    <row r="21" spans="1:25" x14ac:dyDescent="0.25">
      <c r="A21" s="92"/>
      <c r="B21" s="93"/>
      <c r="C21" s="93"/>
      <c r="D21" s="93"/>
      <c r="E21" s="93"/>
      <c r="F21" s="93"/>
      <c r="G21" s="93"/>
      <c r="H21" s="94"/>
      <c r="I21" s="111" t="s">
        <v>543</v>
      </c>
      <c r="J21" s="109"/>
      <c r="K21" s="109"/>
      <c r="L21" s="109"/>
      <c r="M21" s="115">
        <f>SUM(L14/12)</f>
        <v>29498.166666666668</v>
      </c>
      <c r="N21" s="115">
        <f>SUM(L14/12)</f>
        <v>29498.166666666668</v>
      </c>
      <c r="O21" s="115">
        <f>SUM(L14/12)</f>
        <v>29498.166666666668</v>
      </c>
      <c r="P21" s="115">
        <f>SUM(L14/12)</f>
        <v>29498.166666666668</v>
      </c>
      <c r="Q21" s="115">
        <f>SUM(L14/12)</f>
        <v>29498.166666666668</v>
      </c>
      <c r="R21" s="115">
        <f>SUM(L14/12)</f>
        <v>29498.166666666668</v>
      </c>
      <c r="S21" s="115">
        <v>29498.17</v>
      </c>
      <c r="T21" s="115">
        <v>29498.17</v>
      </c>
      <c r="U21" s="115">
        <v>29498.17</v>
      </c>
      <c r="V21" s="115">
        <v>29498.17</v>
      </c>
      <c r="W21" s="115">
        <v>29498.17</v>
      </c>
      <c r="X21" s="115">
        <v>29498.17</v>
      </c>
      <c r="Y21" s="109"/>
    </row>
    <row r="22" spans="1:25" x14ac:dyDescent="0.25">
      <c r="A22" s="92" t="s">
        <v>364</v>
      </c>
      <c r="B22" s="93"/>
      <c r="C22" s="93"/>
      <c r="D22" s="93"/>
      <c r="E22" s="93"/>
      <c r="F22" s="93">
        <f>SUM(N19/A17)</f>
        <v>1.7149154101063915</v>
      </c>
      <c r="G22" s="93"/>
      <c r="H22" s="94"/>
      <c r="I22" s="111" t="s">
        <v>542</v>
      </c>
      <c r="J22" s="109"/>
      <c r="K22" s="109"/>
      <c r="L22" s="109"/>
      <c r="M22" s="109">
        <f>SUM(M21)/(M16*21)</f>
        <v>19.242117851706894</v>
      </c>
      <c r="N22" s="109">
        <f>SUM(N21)/(N16*21)</f>
        <v>17.558432539682542</v>
      </c>
      <c r="O22" s="109">
        <f>SUM(O21)/(O16*21)</f>
        <v>15.2682022084196</v>
      </c>
      <c r="P22" s="109">
        <f>SUM(P21)/(P16*21)</f>
        <v>15.782860709827002</v>
      </c>
      <c r="Q22" s="109">
        <f>SUM(Q21)/(Q16*19)</f>
        <v>17.25038986354776</v>
      </c>
      <c r="R22" s="109">
        <f>SUM(R21)/(R16*18)</f>
        <v>19.279847494553376</v>
      </c>
      <c r="S22" s="109">
        <f>SUM(S21)/(S16*18)</f>
        <v>17.070700231481482</v>
      </c>
      <c r="T22" s="109">
        <f>SUM(T21)/(T16*20)</f>
        <v>12.18932644628099</v>
      </c>
      <c r="U22" s="109">
        <f>SUM(U21)/(U16*21)</f>
        <v>12.321708437761069</v>
      </c>
      <c r="V22" s="109">
        <f>SUM(V21)/(V16*21)</f>
        <v>13.771321195144724</v>
      </c>
      <c r="W22" s="109">
        <f>SUM(W21)/(W16*22)</f>
        <v>14.734350649350649</v>
      </c>
      <c r="X22" s="109">
        <f>SUM(X21)/(X16*20)</f>
        <v>17.986689024390241</v>
      </c>
      <c r="Y22" s="109"/>
    </row>
    <row r="23" spans="1:25" x14ac:dyDescent="0.25">
      <c r="A23" s="92" t="s">
        <v>365</v>
      </c>
      <c r="B23" s="93"/>
      <c r="C23" s="93"/>
      <c r="D23" s="93"/>
      <c r="E23" s="93"/>
      <c r="F23" s="93">
        <f>SUM(N20/A17)</f>
        <v>2.1447303746690132</v>
      </c>
      <c r="G23" s="93"/>
      <c r="H23" s="94"/>
    </row>
    <row r="24" spans="1:25" ht="13.8" thickBot="1" x14ac:dyDescent="0.3">
      <c r="A24" s="99" t="s">
        <v>366</v>
      </c>
      <c r="B24" s="100"/>
      <c r="C24" s="100"/>
      <c r="D24" s="100"/>
      <c r="E24" s="100"/>
      <c r="F24" s="100">
        <f>SUM(A18/12)/N20</f>
        <v>0.76927806445571445</v>
      </c>
      <c r="G24" s="100"/>
      <c r="H24" s="101"/>
      <c r="I24" s="109"/>
      <c r="J24" s="109"/>
      <c r="K24" s="109"/>
      <c r="L24" s="108" t="s">
        <v>550</v>
      </c>
      <c r="M24" s="108"/>
      <c r="N24" s="108"/>
      <c r="O24" s="114">
        <v>44500</v>
      </c>
      <c r="P24" s="109"/>
      <c r="Q24" s="109"/>
      <c r="R24" s="109"/>
      <c r="S24" s="109"/>
      <c r="T24" s="109"/>
      <c r="U24" s="109"/>
      <c r="V24" s="109"/>
      <c r="W24" s="109"/>
      <c r="X24" s="109"/>
      <c r="Y24" s="109"/>
    </row>
    <row r="25" spans="1:25" x14ac:dyDescent="0.25">
      <c r="I25" s="111" t="s">
        <v>547</v>
      </c>
      <c r="J25" s="109"/>
      <c r="K25" s="109"/>
      <c r="L25" s="109"/>
      <c r="M25" s="112">
        <v>0</v>
      </c>
      <c r="N25" s="112">
        <v>0</v>
      </c>
      <c r="O25" s="112">
        <v>0</v>
      </c>
      <c r="P25" s="112">
        <v>19</v>
      </c>
      <c r="Q25" s="112">
        <v>25</v>
      </c>
      <c r="R25" s="112">
        <v>17</v>
      </c>
      <c r="S25" s="112">
        <v>27</v>
      </c>
      <c r="T25" s="112">
        <v>24</v>
      </c>
      <c r="U25" s="112">
        <v>24</v>
      </c>
      <c r="V25" s="112">
        <v>20</v>
      </c>
      <c r="W25" s="112">
        <v>29</v>
      </c>
      <c r="X25" s="112">
        <v>24</v>
      </c>
      <c r="Y25" s="112"/>
    </row>
    <row r="26" spans="1:25" x14ac:dyDescent="0.25">
      <c r="I26" s="113" t="s">
        <v>543</v>
      </c>
      <c r="J26" s="109"/>
      <c r="K26" s="109"/>
      <c r="L26" s="109"/>
      <c r="M26" s="112"/>
      <c r="N26" s="112"/>
      <c r="O26" s="112"/>
      <c r="P26" s="117">
        <v>4398</v>
      </c>
      <c r="Q26" s="117">
        <v>3783</v>
      </c>
      <c r="R26" s="117">
        <v>3870</v>
      </c>
      <c r="S26" s="117">
        <v>3800</v>
      </c>
      <c r="T26" s="117">
        <v>3800</v>
      </c>
      <c r="U26" s="117">
        <v>3654</v>
      </c>
      <c r="V26" s="117">
        <v>3654</v>
      </c>
      <c r="W26" s="117">
        <v>3654</v>
      </c>
      <c r="X26" s="117">
        <v>3654</v>
      </c>
      <c r="Y26" s="117"/>
    </row>
    <row r="27" spans="1:25" x14ac:dyDescent="0.25">
      <c r="I27" s="113" t="s">
        <v>542</v>
      </c>
      <c r="J27" s="109"/>
      <c r="K27" s="109"/>
      <c r="L27" s="109"/>
      <c r="M27" s="112"/>
      <c r="N27" s="112"/>
      <c r="O27" s="112"/>
      <c r="P27" s="116">
        <f>SUM(P26)/(P25*13)</f>
        <v>17.805668016194332</v>
      </c>
      <c r="Q27" s="116">
        <f>SUM(Q26)/(Q25*19)</f>
        <v>7.9642105263157896</v>
      </c>
      <c r="R27" s="116">
        <f>SUM(R26)/(R25*19)</f>
        <v>11.981424148606811</v>
      </c>
      <c r="S27" s="116">
        <f>SUM(S26)/(S25*19)</f>
        <v>7.4074074074074074</v>
      </c>
      <c r="T27" s="116">
        <f>SUM(T26)/(T25*19)</f>
        <v>8.3333333333333339</v>
      </c>
      <c r="U27" s="116">
        <f>SUM(U26)/(U25*21)</f>
        <v>7.25</v>
      </c>
      <c r="V27" s="116">
        <f>SUM(V26)/(V25*21)</f>
        <v>8.6999999999999993</v>
      </c>
      <c r="W27" s="116">
        <f>SUM(W26)/(W25*22)</f>
        <v>5.7272727272727275</v>
      </c>
      <c r="X27" s="116">
        <f>SUM(X26)/(X25*22)</f>
        <v>6.9204545454545459</v>
      </c>
      <c r="Y27" s="112"/>
    </row>
    <row r="29" spans="1:25" x14ac:dyDescent="0.25">
      <c r="A29" t="s">
        <v>381</v>
      </c>
      <c r="B29" t="s">
        <v>383</v>
      </c>
      <c r="C29" t="s">
        <v>34</v>
      </c>
      <c r="D29" t="s">
        <v>35</v>
      </c>
      <c r="E29" t="s">
        <v>36</v>
      </c>
      <c r="F29" t="s">
        <v>37</v>
      </c>
      <c r="G29" t="s">
        <v>38</v>
      </c>
      <c r="H29" t="s">
        <v>87</v>
      </c>
      <c r="I29" t="s">
        <v>88</v>
      </c>
      <c r="J29" t="s">
        <v>89</v>
      </c>
      <c r="K29" t="s">
        <v>15</v>
      </c>
      <c r="L29" t="s">
        <v>16</v>
      </c>
      <c r="M29" t="s">
        <v>17</v>
      </c>
      <c r="N29" t="s">
        <v>385</v>
      </c>
    </row>
    <row r="30" spans="1:25" x14ac:dyDescent="0.25">
      <c r="A30" t="s">
        <v>382</v>
      </c>
      <c r="B30">
        <v>24</v>
      </c>
      <c r="C30">
        <v>15</v>
      </c>
      <c r="D30">
        <v>22</v>
      </c>
      <c r="E30">
        <v>22</v>
      </c>
      <c r="F30">
        <v>12</v>
      </c>
      <c r="G30">
        <v>49</v>
      </c>
      <c r="H30">
        <v>40</v>
      </c>
      <c r="I30">
        <v>30</v>
      </c>
      <c r="J30">
        <v>21</v>
      </c>
      <c r="K30">
        <v>33</v>
      </c>
      <c r="L30">
        <v>23</v>
      </c>
      <c r="M30">
        <v>35</v>
      </c>
      <c r="N30">
        <f t="shared" ref="N30" si="0">SUM(B30:M30)</f>
        <v>326</v>
      </c>
    </row>
    <row r="31" spans="1:25" x14ac:dyDescent="0.25">
      <c r="O31" s="32">
        <f>SUM(N32/N30)</f>
        <v>0.21165644171779141</v>
      </c>
    </row>
    <row r="32" spans="1:25" x14ac:dyDescent="0.25">
      <c r="A32" t="s">
        <v>384</v>
      </c>
      <c r="B32" s="7">
        <v>5</v>
      </c>
      <c r="C32">
        <v>1</v>
      </c>
      <c r="D32">
        <v>2</v>
      </c>
      <c r="E32">
        <v>4</v>
      </c>
      <c r="F32">
        <v>1</v>
      </c>
      <c r="G32">
        <v>5</v>
      </c>
      <c r="H32">
        <v>13</v>
      </c>
      <c r="I32">
        <v>7</v>
      </c>
      <c r="J32">
        <v>4</v>
      </c>
      <c r="K32">
        <v>10</v>
      </c>
      <c r="L32">
        <v>5</v>
      </c>
      <c r="M32">
        <v>12</v>
      </c>
      <c r="N32">
        <f>SUM(B32:M32)</f>
        <v>69</v>
      </c>
      <c r="T32">
        <v>5</v>
      </c>
    </row>
    <row r="34" spans="1:16" x14ac:dyDescent="0.25">
      <c r="P34" t="s">
        <v>499</v>
      </c>
    </row>
    <row r="35" spans="1:16" x14ac:dyDescent="0.25">
      <c r="A35" s="11" t="s">
        <v>405</v>
      </c>
      <c r="B35" t="s">
        <v>383</v>
      </c>
      <c r="C35" t="s">
        <v>34</v>
      </c>
      <c r="D35" t="s">
        <v>35</v>
      </c>
      <c r="E35" t="s">
        <v>36</v>
      </c>
      <c r="F35" t="s">
        <v>37</v>
      </c>
      <c r="G35" t="s">
        <v>38</v>
      </c>
      <c r="H35" t="s">
        <v>87</v>
      </c>
      <c r="I35" t="s">
        <v>88</v>
      </c>
      <c r="J35" t="s">
        <v>89</v>
      </c>
      <c r="K35" t="s">
        <v>15</v>
      </c>
      <c r="L35" t="s">
        <v>16</v>
      </c>
      <c r="M35" t="s">
        <v>17</v>
      </c>
      <c r="N35" t="s">
        <v>385</v>
      </c>
    </row>
    <row r="36" spans="1:16" x14ac:dyDescent="0.25">
      <c r="A36" s="11" t="s">
        <v>451</v>
      </c>
      <c r="N36">
        <f>SUM(B36:M36)</f>
        <v>0</v>
      </c>
    </row>
    <row r="37" spans="1:16" x14ac:dyDescent="0.25">
      <c r="O37" s="32" t="e">
        <f>SUM(N38/N36)</f>
        <v>#DIV/0!</v>
      </c>
    </row>
    <row r="38" spans="1:16" x14ac:dyDescent="0.25">
      <c r="A38" s="11" t="s">
        <v>406</v>
      </c>
      <c r="N38">
        <f>SUM(B38:M38)</f>
        <v>0</v>
      </c>
    </row>
    <row r="40" spans="1:16" x14ac:dyDescent="0.25">
      <c r="A40" t="s">
        <v>391</v>
      </c>
      <c r="B40" t="s">
        <v>392</v>
      </c>
    </row>
    <row r="41" spans="1:16" x14ac:dyDescent="0.25">
      <c r="B41" t="s">
        <v>393</v>
      </c>
    </row>
    <row r="43" spans="1:16" x14ac:dyDescent="0.25">
      <c r="B43" t="s">
        <v>383</v>
      </c>
      <c r="C43" t="s">
        <v>34</v>
      </c>
      <c r="D43" t="s">
        <v>35</v>
      </c>
      <c r="E43" t="s">
        <v>36</v>
      </c>
      <c r="F43" t="s">
        <v>37</v>
      </c>
      <c r="G43" t="s">
        <v>38</v>
      </c>
      <c r="H43" t="s">
        <v>87</v>
      </c>
      <c r="I43" t="s">
        <v>88</v>
      </c>
      <c r="J43" t="s">
        <v>89</v>
      </c>
      <c r="K43" t="s">
        <v>15</v>
      </c>
      <c r="L43" t="s">
        <v>16</v>
      </c>
      <c r="M43" t="s">
        <v>17</v>
      </c>
      <c r="N43" t="s">
        <v>385</v>
      </c>
    </row>
    <row r="44" spans="1:16" x14ac:dyDescent="0.25">
      <c r="A44" s="41" t="s">
        <v>444</v>
      </c>
    </row>
    <row r="45" spans="1:16" x14ac:dyDescent="0.25">
      <c r="A45" t="s">
        <v>445</v>
      </c>
      <c r="B45" s="10">
        <v>3</v>
      </c>
      <c r="C45" s="10">
        <v>0</v>
      </c>
      <c r="D45" s="10">
        <v>5</v>
      </c>
      <c r="E45" s="10">
        <v>0</v>
      </c>
      <c r="F45" s="10">
        <v>4</v>
      </c>
      <c r="G45" s="10">
        <v>1</v>
      </c>
      <c r="H45" s="10">
        <v>3</v>
      </c>
      <c r="I45" s="10">
        <v>5</v>
      </c>
      <c r="J45" s="10">
        <v>3</v>
      </c>
      <c r="K45" s="10">
        <v>3</v>
      </c>
      <c r="L45" s="10">
        <v>2</v>
      </c>
      <c r="M45" s="10">
        <v>4</v>
      </c>
      <c r="N45" s="10">
        <f>SUM(B45:M45)</f>
        <v>33</v>
      </c>
      <c r="O45" s="42">
        <f>SUM(N46*12)/440</f>
        <v>7.4999999999999997E-2</v>
      </c>
      <c r="P45" t="s">
        <v>446</v>
      </c>
    </row>
    <row r="46" spans="1:16" x14ac:dyDescent="0.25">
      <c r="B46" s="10"/>
      <c r="C46" s="10"/>
      <c r="D46" s="10"/>
      <c r="E46" s="10"/>
      <c r="F46" s="10"/>
      <c r="G46" s="10"/>
      <c r="H46" s="10"/>
      <c r="I46" s="10"/>
      <c r="J46" s="10"/>
      <c r="K46" s="10"/>
      <c r="L46" s="10"/>
      <c r="M46" t="s">
        <v>447</v>
      </c>
      <c r="N46" s="10">
        <f>AVERAGE(B45:M45)</f>
        <v>2.75</v>
      </c>
      <c r="O46" s="42"/>
    </row>
    <row r="47" spans="1:16" x14ac:dyDescent="0.25">
      <c r="A47" s="11" t="s">
        <v>524</v>
      </c>
      <c r="B47" s="10"/>
      <c r="C47" s="10"/>
      <c r="D47" s="10"/>
      <c r="E47" s="10"/>
      <c r="F47" s="10"/>
      <c r="G47" s="10"/>
      <c r="H47" s="10"/>
      <c r="I47" s="10"/>
      <c r="J47" s="10"/>
      <c r="K47" s="10"/>
      <c r="L47" s="10"/>
      <c r="N47" s="10"/>
      <c r="O47" s="42"/>
    </row>
    <row r="48" spans="1:16" x14ac:dyDescent="0.25">
      <c r="B48" s="10"/>
      <c r="C48" s="10"/>
      <c r="D48" s="10"/>
      <c r="E48" s="10"/>
      <c r="F48" s="10"/>
      <c r="G48" s="10"/>
      <c r="H48" s="10"/>
      <c r="I48" s="10"/>
      <c r="J48" s="10"/>
      <c r="K48" s="10"/>
      <c r="L48" s="10"/>
      <c r="N48" s="10"/>
      <c r="O48" s="42"/>
    </row>
    <row r="49" spans="1:16" x14ac:dyDescent="0.25">
      <c r="A49" t="s">
        <v>449</v>
      </c>
      <c r="B49" s="10">
        <v>4</v>
      </c>
      <c r="C49" s="10">
        <v>1</v>
      </c>
      <c r="D49" s="10">
        <v>9</v>
      </c>
      <c r="E49" s="10">
        <v>0</v>
      </c>
      <c r="F49" s="10">
        <v>5</v>
      </c>
      <c r="G49" s="10">
        <v>1</v>
      </c>
      <c r="H49" s="10">
        <v>3</v>
      </c>
      <c r="I49" s="10">
        <v>5</v>
      </c>
      <c r="J49" s="10">
        <v>4</v>
      </c>
      <c r="K49" s="10">
        <v>4</v>
      </c>
      <c r="L49" s="10">
        <v>10</v>
      </c>
      <c r="M49" s="10">
        <v>8</v>
      </c>
      <c r="N49" s="10">
        <f>SUM(B49:M49)</f>
        <v>54</v>
      </c>
      <c r="O49" s="42"/>
    </row>
    <row r="50" spans="1:16" x14ac:dyDescent="0.25">
      <c r="M50" t="s">
        <v>447</v>
      </c>
      <c r="N50" s="10">
        <f>AVERAGE(B49:M49)</f>
        <v>4.5</v>
      </c>
      <c r="O50" s="42">
        <f>SUM(N50*12)/440</f>
        <v>0.12272727272727273</v>
      </c>
      <c r="P50" t="s">
        <v>450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8"/>
  <sheetViews>
    <sheetView topLeftCell="A92" workbookViewId="0">
      <selection activeCell="O124" sqref="O124"/>
    </sheetView>
  </sheetViews>
  <sheetFormatPr defaultRowHeight="13.2" x14ac:dyDescent="0.25"/>
  <cols>
    <col min="1" max="1" width="16.88671875" customWidth="1"/>
  </cols>
  <sheetData>
    <row r="1" spans="1:28" x14ac:dyDescent="0.25">
      <c r="A1" s="25" t="s">
        <v>470</v>
      </c>
      <c r="B1" s="25"/>
      <c r="C1" s="25"/>
      <c r="D1" s="25"/>
      <c r="E1" s="25"/>
      <c r="F1" s="25"/>
      <c r="G1" s="25"/>
      <c r="H1" s="25"/>
      <c r="I1" s="25" t="s">
        <v>469</v>
      </c>
      <c r="J1" s="25"/>
      <c r="K1" s="25"/>
      <c r="L1" s="25"/>
      <c r="M1" s="25"/>
      <c r="N1" s="25"/>
      <c r="O1" s="25"/>
    </row>
    <row r="2" spans="1:28" x14ac:dyDescent="0.25">
      <c r="A2" s="43" t="s">
        <v>456</v>
      </c>
      <c r="B2" s="43">
        <v>1</v>
      </c>
      <c r="C2" s="43">
        <v>2</v>
      </c>
      <c r="D2" s="43">
        <v>3</v>
      </c>
      <c r="E2" s="43">
        <v>4</v>
      </c>
      <c r="F2" s="43">
        <v>5</v>
      </c>
      <c r="G2" s="43">
        <v>6</v>
      </c>
      <c r="H2" s="43">
        <v>7</v>
      </c>
      <c r="I2" s="43">
        <v>8</v>
      </c>
      <c r="J2" s="43">
        <v>9</v>
      </c>
      <c r="K2" s="43">
        <v>10</v>
      </c>
      <c r="L2" s="43">
        <v>11</v>
      </c>
      <c r="M2" s="43">
        <v>12</v>
      </c>
      <c r="N2" s="43">
        <v>13</v>
      </c>
      <c r="O2" s="25"/>
    </row>
    <row r="3" spans="1:28" x14ac:dyDescent="0.25">
      <c r="A3" s="25" t="s">
        <v>454</v>
      </c>
      <c r="B3" s="25">
        <v>49379</v>
      </c>
      <c r="C3" s="25">
        <v>66</v>
      </c>
      <c r="D3" s="25">
        <v>175</v>
      </c>
      <c r="E3" s="25">
        <v>43935</v>
      </c>
      <c r="F3" s="25">
        <v>70</v>
      </c>
      <c r="G3" s="25"/>
      <c r="H3" s="25"/>
      <c r="I3" s="25"/>
      <c r="J3" s="25"/>
      <c r="K3" s="25"/>
      <c r="L3" s="25"/>
      <c r="M3" s="25"/>
      <c r="N3" s="25"/>
      <c r="O3" s="25"/>
    </row>
    <row r="4" spans="1:28" x14ac:dyDescent="0.25">
      <c r="A4" s="25" t="s">
        <v>4</v>
      </c>
      <c r="B4" s="25">
        <v>10605</v>
      </c>
      <c r="C4" s="25">
        <v>20319</v>
      </c>
      <c r="D4" s="25">
        <v>36514</v>
      </c>
      <c r="E4" s="25">
        <v>13.7</v>
      </c>
      <c r="F4" s="25">
        <v>3.9</v>
      </c>
      <c r="G4" s="25"/>
      <c r="H4" s="25"/>
      <c r="I4" s="25"/>
      <c r="J4" s="25"/>
      <c r="K4" s="25"/>
      <c r="L4" s="25"/>
      <c r="M4" s="25"/>
      <c r="N4" s="25"/>
      <c r="O4" s="25"/>
    </row>
    <row r="5" spans="1:28" x14ac:dyDescent="0.25">
      <c r="A5" s="25" t="s">
        <v>235</v>
      </c>
      <c r="B5" s="25">
        <v>4508</v>
      </c>
      <c r="C5" s="25"/>
      <c r="D5" s="25">
        <v>2583</v>
      </c>
      <c r="E5" s="25">
        <v>195</v>
      </c>
      <c r="F5" s="25">
        <v>15</v>
      </c>
      <c r="G5" s="25">
        <v>145</v>
      </c>
      <c r="H5" s="25"/>
      <c r="I5" s="25"/>
      <c r="J5" s="25"/>
      <c r="K5" s="25"/>
      <c r="L5" s="25"/>
      <c r="M5" s="25"/>
      <c r="N5" s="25"/>
      <c r="O5" s="25"/>
    </row>
    <row r="6" spans="1:28" x14ac:dyDescent="0.25">
      <c r="A6" s="25" t="s">
        <v>457</v>
      </c>
      <c r="B6" s="25">
        <v>38674</v>
      </c>
      <c r="C6" s="25">
        <v>31798</v>
      </c>
      <c r="D6" s="25">
        <v>1270</v>
      </c>
      <c r="E6" s="25">
        <v>1538</v>
      </c>
      <c r="F6" s="25">
        <v>17.5</v>
      </c>
      <c r="G6" s="25">
        <v>48.4</v>
      </c>
      <c r="H6" s="25">
        <v>5</v>
      </c>
      <c r="I6" s="25">
        <v>182</v>
      </c>
      <c r="J6" s="25"/>
      <c r="K6" s="25"/>
      <c r="L6" s="25"/>
      <c r="M6" s="25"/>
      <c r="N6" s="25"/>
      <c r="O6" s="25"/>
    </row>
    <row r="7" spans="1:28" x14ac:dyDescent="0.25">
      <c r="A7" s="25" t="s">
        <v>428</v>
      </c>
      <c r="B7" s="25">
        <v>11412</v>
      </c>
      <c r="C7" s="25">
        <v>3.07</v>
      </c>
      <c r="D7" s="25">
        <v>1731</v>
      </c>
      <c r="E7" s="25">
        <v>0.46</v>
      </c>
      <c r="F7" s="25">
        <v>133</v>
      </c>
      <c r="G7" s="25"/>
      <c r="H7" s="25"/>
      <c r="I7" s="25"/>
      <c r="J7" s="25"/>
      <c r="K7" s="25"/>
      <c r="L7" s="25"/>
      <c r="M7" s="25"/>
      <c r="N7" s="25"/>
      <c r="O7" s="25"/>
    </row>
    <row r="8" spans="1:28" x14ac:dyDescent="0.25">
      <c r="A8" s="25" t="s">
        <v>458</v>
      </c>
      <c r="B8" s="25">
        <v>2495</v>
      </c>
      <c r="C8" s="25">
        <v>1970</v>
      </c>
      <c r="D8" s="25">
        <v>396</v>
      </c>
      <c r="E8" s="25">
        <v>0</v>
      </c>
      <c r="F8" s="25">
        <v>133</v>
      </c>
      <c r="G8" s="25">
        <v>315</v>
      </c>
      <c r="H8" s="25">
        <v>2270</v>
      </c>
      <c r="I8" s="25">
        <v>610</v>
      </c>
      <c r="J8" s="25">
        <v>324</v>
      </c>
      <c r="K8" s="25">
        <v>175</v>
      </c>
      <c r="L8" s="25">
        <v>21713</v>
      </c>
      <c r="M8" s="25"/>
      <c r="N8" s="25"/>
      <c r="O8" s="25"/>
    </row>
    <row r="9" spans="1:28" x14ac:dyDescent="0.25">
      <c r="A9" s="25" t="s">
        <v>459</v>
      </c>
      <c r="B9" s="25">
        <v>610</v>
      </c>
      <c r="C9" s="25">
        <v>104</v>
      </c>
      <c r="D9" s="25">
        <v>80</v>
      </c>
      <c r="E9" s="25">
        <v>27</v>
      </c>
      <c r="F9" s="25">
        <v>23</v>
      </c>
      <c r="G9" s="25">
        <v>7</v>
      </c>
      <c r="H9" s="25">
        <v>134</v>
      </c>
      <c r="I9" s="25"/>
      <c r="J9" s="25"/>
      <c r="K9" s="25"/>
      <c r="L9" s="25"/>
      <c r="M9" s="25"/>
      <c r="N9" s="25"/>
      <c r="O9" s="25"/>
    </row>
    <row r="10" spans="1:28" x14ac:dyDescent="0.25">
      <c r="A10" s="25" t="s">
        <v>25</v>
      </c>
      <c r="B10" s="25">
        <v>7864</v>
      </c>
      <c r="C10" s="25">
        <v>56.2</v>
      </c>
      <c r="D10" s="25">
        <v>1.87</v>
      </c>
      <c r="E10" s="25">
        <v>7.9</v>
      </c>
      <c r="F10" s="25">
        <v>2883</v>
      </c>
      <c r="G10" s="25">
        <v>22.6</v>
      </c>
      <c r="H10" s="25"/>
      <c r="I10" s="25">
        <v>24.1</v>
      </c>
      <c r="J10" s="25">
        <v>22.2</v>
      </c>
      <c r="K10" s="25">
        <v>25.4</v>
      </c>
      <c r="L10" s="25">
        <v>21.2</v>
      </c>
      <c r="M10" s="25">
        <v>20</v>
      </c>
      <c r="N10" s="25"/>
      <c r="O10" s="25"/>
    </row>
    <row r="11" spans="1:28" x14ac:dyDescent="0.25">
      <c r="A11" s="25" t="s">
        <v>460</v>
      </c>
      <c r="B11" s="25">
        <v>155</v>
      </c>
      <c r="C11" s="25">
        <v>802</v>
      </c>
      <c r="D11" s="25">
        <v>242</v>
      </c>
      <c r="E11" s="25">
        <v>297</v>
      </c>
      <c r="F11" s="25">
        <v>83.3</v>
      </c>
      <c r="G11" s="25">
        <v>95.7</v>
      </c>
      <c r="H11" s="25">
        <v>835</v>
      </c>
      <c r="I11" s="25">
        <v>99.3</v>
      </c>
      <c r="J11" s="25">
        <v>194</v>
      </c>
      <c r="K11" s="25">
        <v>322</v>
      </c>
      <c r="L11" s="25"/>
      <c r="M11" s="25"/>
      <c r="N11" s="25"/>
      <c r="O11" s="25"/>
    </row>
    <row r="12" spans="1:28" x14ac:dyDescent="0.25">
      <c r="A12" s="25" t="s">
        <v>227</v>
      </c>
      <c r="B12" s="25">
        <v>2085</v>
      </c>
      <c r="C12" s="25">
        <v>8.4</v>
      </c>
      <c r="D12" s="25">
        <v>2781</v>
      </c>
      <c r="E12" s="25">
        <v>431</v>
      </c>
      <c r="F12" s="25"/>
      <c r="G12" s="25"/>
      <c r="H12" s="25"/>
      <c r="I12" s="25"/>
      <c r="J12" s="25"/>
      <c r="K12" s="25"/>
      <c r="L12" s="25"/>
      <c r="M12" s="25"/>
      <c r="N12" s="25"/>
      <c r="O12" s="25"/>
    </row>
    <row r="13" spans="1:28" x14ac:dyDescent="0.25">
      <c r="A13" s="25" t="s">
        <v>461</v>
      </c>
      <c r="B13" s="25">
        <v>1651</v>
      </c>
      <c r="C13" s="25">
        <v>4978</v>
      </c>
      <c r="D13" s="25">
        <v>21.6</v>
      </c>
      <c r="E13" s="25">
        <v>4</v>
      </c>
      <c r="F13" s="25">
        <v>413</v>
      </c>
      <c r="G13" s="25">
        <v>3</v>
      </c>
      <c r="H13" s="25">
        <v>326</v>
      </c>
      <c r="I13" s="25">
        <v>1234</v>
      </c>
      <c r="J13" s="25">
        <v>7737</v>
      </c>
      <c r="K13" s="25">
        <v>22.5</v>
      </c>
      <c r="L13" s="25">
        <v>85</v>
      </c>
      <c r="M13" s="25">
        <v>238</v>
      </c>
      <c r="N13" s="25">
        <v>5348</v>
      </c>
      <c r="O13" s="25"/>
    </row>
    <row r="14" spans="1:28" x14ac:dyDescent="0.25">
      <c r="A14" s="25" t="s">
        <v>434</v>
      </c>
      <c r="B14" s="25">
        <v>38</v>
      </c>
      <c r="C14" s="25">
        <v>8.5</v>
      </c>
      <c r="D14" s="25">
        <v>20</v>
      </c>
      <c r="E14" s="25">
        <v>3.6</v>
      </c>
      <c r="F14" s="25">
        <v>2900</v>
      </c>
      <c r="G14" s="25">
        <v>24300</v>
      </c>
      <c r="H14" s="25"/>
      <c r="I14" s="25"/>
      <c r="J14" s="25"/>
      <c r="K14" s="25"/>
      <c r="L14" s="25"/>
      <c r="M14" s="25"/>
      <c r="N14" s="25"/>
      <c r="O14" s="25"/>
      <c r="P14">
        <f>AVERAGE(B13,B46,B79)</f>
        <v>1661</v>
      </c>
      <c r="Q14">
        <f t="shared" ref="Q14:AB14" si="0">AVERAGE(C13,C46,C79)</f>
        <v>4890.666666666667</v>
      </c>
      <c r="R14">
        <f t="shared" si="0"/>
        <v>20.266666666666666</v>
      </c>
      <c r="S14">
        <f t="shared" si="0"/>
        <v>4.666666666666667</v>
      </c>
      <c r="T14">
        <f t="shared" si="0"/>
        <v>413.66666666666669</v>
      </c>
      <c r="U14">
        <f t="shared" si="0"/>
        <v>1.6666666666666667</v>
      </c>
      <c r="V14">
        <f t="shared" si="0"/>
        <v>240.66666666666666</v>
      </c>
      <c r="W14">
        <f t="shared" si="0"/>
        <v>1128.6666666666667</v>
      </c>
      <c r="X14">
        <f t="shared" si="0"/>
        <v>7645.333333333333</v>
      </c>
      <c r="Y14">
        <f t="shared" si="0"/>
        <v>25.666666666666668</v>
      </c>
      <c r="Z14">
        <f t="shared" si="0"/>
        <v>92.333333333333329</v>
      </c>
      <c r="AA14">
        <f t="shared" si="0"/>
        <v>217.33333333333334</v>
      </c>
      <c r="AB14">
        <f t="shared" si="0"/>
        <v>5469.333333333333</v>
      </c>
    </row>
    <row r="15" spans="1:28" x14ac:dyDescent="0.25">
      <c r="A15" s="25" t="s">
        <v>228</v>
      </c>
      <c r="B15" s="25">
        <v>3019</v>
      </c>
      <c r="C15" s="25">
        <v>208</v>
      </c>
      <c r="D15" s="25">
        <v>2570</v>
      </c>
      <c r="E15" s="25">
        <v>1663</v>
      </c>
      <c r="F15" s="25">
        <v>1556</v>
      </c>
      <c r="G15" s="25">
        <v>1.71</v>
      </c>
      <c r="H15" s="25">
        <v>36.299999999999997</v>
      </c>
      <c r="I15" s="25">
        <v>35.200000000000003</v>
      </c>
      <c r="J15" s="25">
        <v>2951</v>
      </c>
      <c r="K15" s="25">
        <v>96.6</v>
      </c>
      <c r="L15" s="25"/>
      <c r="M15" s="25"/>
      <c r="N15" s="25"/>
      <c r="O15" s="25"/>
    </row>
    <row r="16" spans="1:28" x14ac:dyDescent="0.25">
      <c r="A16" s="25" t="s">
        <v>230</v>
      </c>
      <c r="B16" s="25">
        <v>100</v>
      </c>
      <c r="C16" s="25">
        <v>99.9</v>
      </c>
      <c r="D16" s="25">
        <v>100</v>
      </c>
      <c r="E16" s="25">
        <v>58</v>
      </c>
      <c r="F16" s="25">
        <v>67</v>
      </c>
      <c r="G16" s="25">
        <v>139</v>
      </c>
      <c r="H16" s="25"/>
      <c r="I16" s="25"/>
      <c r="J16" s="25"/>
      <c r="K16" s="25"/>
      <c r="L16" s="25"/>
      <c r="M16" s="25"/>
      <c r="N16" s="25"/>
      <c r="O16" s="25"/>
    </row>
    <row r="17" spans="1:15" x14ac:dyDescent="0.25">
      <c r="A17" s="25" t="s">
        <v>7</v>
      </c>
      <c r="B17" s="25">
        <v>86.1</v>
      </c>
      <c r="C17" s="25">
        <v>13.3</v>
      </c>
      <c r="D17" s="25">
        <v>2399</v>
      </c>
      <c r="E17" s="25">
        <v>6.6</v>
      </c>
      <c r="F17" s="25">
        <v>2419</v>
      </c>
      <c r="G17" s="25">
        <v>78</v>
      </c>
      <c r="H17" s="25"/>
      <c r="I17" s="25"/>
      <c r="J17" s="25"/>
      <c r="K17" s="25"/>
      <c r="L17" s="25"/>
      <c r="M17" s="25"/>
      <c r="N17" s="25"/>
      <c r="O17" s="25"/>
    </row>
    <row r="18" spans="1:15" x14ac:dyDescent="0.25">
      <c r="A18" s="25" t="s">
        <v>8</v>
      </c>
      <c r="B18" s="25">
        <v>225675</v>
      </c>
      <c r="C18" s="25">
        <v>132675</v>
      </c>
      <c r="D18" s="25">
        <v>8306</v>
      </c>
      <c r="E18" s="25">
        <v>29041</v>
      </c>
      <c r="F18" s="25">
        <v>148156</v>
      </c>
      <c r="G18" s="25">
        <v>35751</v>
      </c>
      <c r="H18" s="25">
        <v>2.4</v>
      </c>
      <c r="I18" s="25">
        <v>3.02</v>
      </c>
      <c r="J18" s="25">
        <v>6.19</v>
      </c>
      <c r="K18" s="25"/>
      <c r="L18" s="25"/>
      <c r="M18" s="25"/>
      <c r="N18" s="25"/>
      <c r="O18" s="25"/>
    </row>
    <row r="19" spans="1:15" x14ac:dyDescent="0.25">
      <c r="A19" s="25" t="s">
        <v>462</v>
      </c>
      <c r="B19" s="25">
        <v>15</v>
      </c>
      <c r="C19" s="25">
        <v>11</v>
      </c>
      <c r="D19" s="25">
        <v>11</v>
      </c>
      <c r="E19" s="25">
        <v>1</v>
      </c>
      <c r="F19" s="25">
        <v>7.1</v>
      </c>
      <c r="G19" s="25">
        <v>0</v>
      </c>
      <c r="H19" s="25">
        <v>745</v>
      </c>
      <c r="I19" s="25"/>
      <c r="J19" s="25"/>
      <c r="K19" s="25"/>
      <c r="L19" s="25"/>
      <c r="M19" s="25"/>
      <c r="N19" s="25"/>
      <c r="O19" s="25"/>
    </row>
    <row r="20" spans="1:15" x14ac:dyDescent="0.25">
      <c r="A20" s="25" t="s">
        <v>463</v>
      </c>
      <c r="B20" s="25">
        <v>138</v>
      </c>
      <c r="C20" s="25">
        <v>0</v>
      </c>
      <c r="D20" s="25">
        <v>148</v>
      </c>
      <c r="E20" s="25">
        <v>27</v>
      </c>
      <c r="F20" s="25">
        <v>4749</v>
      </c>
      <c r="G20" s="25">
        <v>424</v>
      </c>
      <c r="H20" s="25">
        <v>2821</v>
      </c>
      <c r="I20" s="25">
        <v>96.3</v>
      </c>
      <c r="J20" s="25">
        <v>547</v>
      </c>
      <c r="K20" s="25">
        <v>98.5</v>
      </c>
      <c r="L20" s="25">
        <v>123</v>
      </c>
      <c r="M20" s="25"/>
      <c r="N20" s="25"/>
      <c r="O20" s="25"/>
    </row>
    <row r="21" spans="1:15" x14ac:dyDescent="0.25">
      <c r="A21" s="25" t="s">
        <v>9</v>
      </c>
      <c r="B21" s="25">
        <v>2018</v>
      </c>
      <c r="C21" s="25">
        <v>1382</v>
      </c>
      <c r="D21" s="25">
        <v>4952</v>
      </c>
      <c r="E21" s="25">
        <v>1204</v>
      </c>
      <c r="F21" s="25">
        <v>8.1999999999999993</v>
      </c>
      <c r="G21" s="25">
        <v>233282</v>
      </c>
      <c r="H21" s="25">
        <v>170012</v>
      </c>
      <c r="I21" s="25"/>
      <c r="J21" s="25"/>
      <c r="K21" s="25"/>
      <c r="L21" s="25"/>
      <c r="M21" s="25"/>
      <c r="N21" s="25"/>
      <c r="O21" s="25"/>
    </row>
    <row r="22" spans="1:15" x14ac:dyDescent="0.25">
      <c r="A22" s="25" t="s">
        <v>61</v>
      </c>
      <c r="B22" s="25">
        <v>88</v>
      </c>
      <c r="C22" s="25">
        <v>89</v>
      </c>
      <c r="D22" s="25">
        <v>40</v>
      </c>
      <c r="E22" s="25">
        <v>1225</v>
      </c>
      <c r="F22" s="25"/>
      <c r="G22" s="25"/>
      <c r="H22" s="25"/>
      <c r="I22" s="25"/>
      <c r="J22" s="25"/>
      <c r="K22" s="25"/>
      <c r="L22" s="25"/>
      <c r="M22" s="25"/>
      <c r="N22" s="25"/>
      <c r="O22" s="25"/>
    </row>
    <row r="23" spans="1:15" x14ac:dyDescent="0.25">
      <c r="A23" s="25" t="s">
        <v>233</v>
      </c>
      <c r="B23" s="25">
        <v>332373</v>
      </c>
      <c r="C23" s="25">
        <v>63507</v>
      </c>
      <c r="D23" s="25">
        <v>18767</v>
      </c>
      <c r="E23" s="25">
        <v>3.4</v>
      </c>
      <c r="F23" s="25">
        <v>0.2</v>
      </c>
      <c r="G23" s="25">
        <v>9.32</v>
      </c>
      <c r="H23" s="25">
        <v>1.95</v>
      </c>
      <c r="I23" s="25"/>
      <c r="J23" s="25"/>
      <c r="K23" s="25"/>
      <c r="L23" s="25"/>
      <c r="M23" s="25"/>
      <c r="N23" s="25"/>
      <c r="O23" s="25"/>
    </row>
    <row r="24" spans="1:15" x14ac:dyDescent="0.25">
      <c r="A24" s="25" t="s">
        <v>10</v>
      </c>
      <c r="B24" s="25">
        <v>12389</v>
      </c>
      <c r="C24" s="25">
        <v>80</v>
      </c>
      <c r="D24" s="25">
        <v>617</v>
      </c>
      <c r="E24" s="25">
        <v>20</v>
      </c>
      <c r="F24" s="25">
        <v>28.2</v>
      </c>
      <c r="G24" s="25">
        <v>6581</v>
      </c>
      <c r="H24" s="25">
        <v>1741</v>
      </c>
      <c r="I24" s="25">
        <v>459</v>
      </c>
      <c r="J24" s="25">
        <v>20.3</v>
      </c>
      <c r="K24" s="25">
        <v>33.9</v>
      </c>
      <c r="L24" s="25"/>
      <c r="M24" s="25"/>
      <c r="N24" s="25"/>
      <c r="O24" s="25"/>
    </row>
    <row r="25" spans="1:15" x14ac:dyDescent="0.25">
      <c r="A25" s="25" t="s">
        <v>229</v>
      </c>
      <c r="B25" s="25">
        <v>4589</v>
      </c>
      <c r="C25" s="25">
        <v>1259</v>
      </c>
      <c r="D25" s="25">
        <v>1098</v>
      </c>
      <c r="E25" s="25">
        <v>725</v>
      </c>
      <c r="F25" s="25">
        <v>3.85</v>
      </c>
      <c r="G25" s="25">
        <v>22581</v>
      </c>
      <c r="H25" s="25">
        <v>91.3</v>
      </c>
      <c r="I25" s="25"/>
      <c r="J25" s="25"/>
      <c r="K25" s="25"/>
      <c r="L25" s="25"/>
      <c r="M25" s="25"/>
      <c r="N25" s="25"/>
      <c r="O25" s="25"/>
    </row>
    <row r="26" spans="1:15" x14ac:dyDescent="0.25">
      <c r="A26" s="25" t="s">
        <v>11</v>
      </c>
      <c r="B26" s="25">
        <v>826</v>
      </c>
      <c r="C26" s="25">
        <v>62.6</v>
      </c>
      <c r="D26" s="25">
        <v>1</v>
      </c>
      <c r="E26" s="25">
        <v>40.6</v>
      </c>
      <c r="F26" s="25">
        <v>51488</v>
      </c>
      <c r="G26" s="25">
        <v>130</v>
      </c>
      <c r="H26" s="25">
        <v>76.3</v>
      </c>
      <c r="I26" s="25">
        <v>100</v>
      </c>
      <c r="J26" s="25">
        <v>98.8</v>
      </c>
      <c r="K26" s="25">
        <v>97.8</v>
      </c>
      <c r="L26" s="25">
        <v>273.2</v>
      </c>
      <c r="M26" s="25"/>
      <c r="N26" s="25"/>
      <c r="O26" s="25"/>
    </row>
    <row r="27" spans="1:15" x14ac:dyDescent="0.25">
      <c r="A27" s="25" t="s">
        <v>12</v>
      </c>
      <c r="B27" s="25">
        <v>1</v>
      </c>
      <c r="C27" s="25">
        <v>0</v>
      </c>
      <c r="D27" s="25">
        <v>23</v>
      </c>
      <c r="E27" s="25">
        <v>88.29</v>
      </c>
      <c r="F27" s="25">
        <v>1.57</v>
      </c>
      <c r="G27" s="25">
        <v>0.28000000000000003</v>
      </c>
      <c r="H27" s="25"/>
      <c r="I27" s="25"/>
      <c r="J27" s="25"/>
      <c r="K27" s="25"/>
      <c r="L27" s="25"/>
      <c r="M27" s="25"/>
      <c r="N27" s="25"/>
      <c r="O27" s="25"/>
    </row>
    <row r="28" spans="1:15" x14ac:dyDescent="0.25">
      <c r="A28" s="25" t="s">
        <v>13</v>
      </c>
      <c r="B28" s="25">
        <v>2058</v>
      </c>
      <c r="C28" s="25">
        <v>640</v>
      </c>
      <c r="D28" s="25">
        <v>96.57</v>
      </c>
      <c r="E28" s="25">
        <v>88.61</v>
      </c>
      <c r="F28" s="25">
        <v>95.86</v>
      </c>
      <c r="G28" s="25">
        <v>0</v>
      </c>
      <c r="H28" s="25">
        <v>30514</v>
      </c>
      <c r="I28" s="25">
        <v>14632</v>
      </c>
      <c r="J28" s="25">
        <v>197</v>
      </c>
      <c r="K28" s="25"/>
      <c r="L28" s="25"/>
      <c r="M28" s="25"/>
      <c r="N28" s="25"/>
      <c r="O28" s="25"/>
    </row>
    <row r="29" spans="1:15" x14ac:dyDescent="0.25">
      <c r="A29" s="25" t="s">
        <v>464</v>
      </c>
      <c r="B29" s="25">
        <v>1157</v>
      </c>
      <c r="C29" s="25">
        <v>1704</v>
      </c>
      <c r="D29" s="25">
        <v>2861</v>
      </c>
      <c r="E29" s="25">
        <v>11.5</v>
      </c>
      <c r="F29" s="25"/>
      <c r="G29" s="25"/>
      <c r="H29" s="25"/>
      <c r="I29" s="25">
        <v>2</v>
      </c>
      <c r="J29" s="25"/>
      <c r="K29" s="25"/>
      <c r="L29" s="25"/>
      <c r="M29" s="25"/>
      <c r="N29" s="25"/>
      <c r="O29" s="25"/>
    </row>
    <row r="30" spans="1:15" x14ac:dyDescent="0.25">
      <c r="A30" s="25" t="s">
        <v>14</v>
      </c>
      <c r="B30" s="25">
        <v>8769</v>
      </c>
      <c r="C30" s="25">
        <v>2238</v>
      </c>
      <c r="D30" s="25">
        <v>11</v>
      </c>
      <c r="E30" s="25">
        <v>6209</v>
      </c>
      <c r="F30" s="25"/>
      <c r="G30" s="25"/>
      <c r="H30" s="25"/>
      <c r="I30" s="25"/>
      <c r="J30" s="25"/>
      <c r="K30" s="25"/>
      <c r="L30" s="25"/>
      <c r="M30" s="25"/>
      <c r="N30" s="25"/>
      <c r="O30" s="25"/>
    </row>
    <row r="31" spans="1:15" x14ac:dyDescent="0.25">
      <c r="A31" s="25" t="s">
        <v>232</v>
      </c>
      <c r="B31" s="25">
        <v>49718</v>
      </c>
      <c r="C31" s="25">
        <v>7619</v>
      </c>
      <c r="D31" s="25">
        <v>2719</v>
      </c>
      <c r="E31" s="25">
        <v>8.9</v>
      </c>
      <c r="F31" s="25">
        <v>15.7</v>
      </c>
      <c r="G31" s="25">
        <v>17.8</v>
      </c>
      <c r="H31" s="25"/>
      <c r="I31" s="25"/>
      <c r="J31" s="25"/>
      <c r="K31" s="25"/>
      <c r="L31" s="25"/>
      <c r="M31" s="25"/>
      <c r="N31" s="25"/>
      <c r="O31" s="25"/>
    </row>
    <row r="32" spans="1:15" x14ac:dyDescent="0.25">
      <c r="A32" s="40">
        <v>911</v>
      </c>
      <c r="B32" s="25">
        <v>120253</v>
      </c>
      <c r="C32" s="25">
        <v>2.3199999999999998</v>
      </c>
      <c r="D32" s="25">
        <v>1</v>
      </c>
      <c r="E32" s="25">
        <v>3.18</v>
      </c>
      <c r="F32" s="25">
        <v>4.38</v>
      </c>
      <c r="G32" s="25"/>
      <c r="H32" s="25"/>
      <c r="I32" s="25"/>
      <c r="J32" s="25"/>
      <c r="K32" s="25"/>
      <c r="L32" s="25"/>
      <c r="M32" s="25"/>
      <c r="N32" s="25"/>
      <c r="O32" s="25"/>
    </row>
    <row r="33" spans="1:15" x14ac:dyDescent="0.25">
      <c r="A33" s="25"/>
      <c r="B33" s="25"/>
      <c r="C33" s="25"/>
      <c r="D33" s="25"/>
      <c r="E33" s="25"/>
      <c r="F33" s="25"/>
      <c r="G33" s="25"/>
      <c r="H33" s="25"/>
      <c r="I33" s="25"/>
      <c r="J33" s="25"/>
      <c r="K33" s="25"/>
      <c r="L33" s="25"/>
      <c r="M33" s="25"/>
      <c r="N33" s="25"/>
      <c r="O33" s="25"/>
    </row>
    <row r="34" spans="1:15" x14ac:dyDescent="0.25">
      <c r="A34" s="25" t="s">
        <v>471</v>
      </c>
      <c r="B34" s="25"/>
      <c r="C34" s="25"/>
      <c r="D34" s="25"/>
      <c r="E34" s="25"/>
      <c r="F34" s="25"/>
      <c r="G34" s="25"/>
      <c r="H34" s="25"/>
      <c r="I34" s="25" t="s">
        <v>455</v>
      </c>
      <c r="J34" s="25"/>
      <c r="K34" s="25"/>
      <c r="L34" s="25"/>
      <c r="M34" s="25"/>
      <c r="N34" s="25"/>
      <c r="O34" s="25"/>
    </row>
    <row r="35" spans="1:15" x14ac:dyDescent="0.25">
      <c r="A35" s="43" t="s">
        <v>456</v>
      </c>
      <c r="B35" s="43">
        <v>1</v>
      </c>
      <c r="C35" s="43">
        <v>2</v>
      </c>
      <c r="D35" s="43">
        <v>3</v>
      </c>
      <c r="E35" s="43">
        <v>4</v>
      </c>
      <c r="F35" s="43">
        <v>5</v>
      </c>
      <c r="G35" s="43">
        <v>6</v>
      </c>
      <c r="H35" s="43">
        <v>7</v>
      </c>
      <c r="I35" s="43">
        <v>8</v>
      </c>
      <c r="J35" s="43">
        <v>9</v>
      </c>
      <c r="K35" s="43">
        <v>10</v>
      </c>
      <c r="L35" s="43">
        <v>11</v>
      </c>
      <c r="M35" s="43">
        <v>12</v>
      </c>
      <c r="N35" s="43">
        <v>13</v>
      </c>
      <c r="O35" s="25"/>
    </row>
    <row r="36" spans="1:15" x14ac:dyDescent="0.25">
      <c r="A36" s="25" t="s">
        <v>454</v>
      </c>
      <c r="B36" s="25">
        <v>61636</v>
      </c>
      <c r="C36" s="25">
        <v>61</v>
      </c>
      <c r="D36" s="25">
        <v>156</v>
      </c>
      <c r="E36" s="25">
        <v>37834</v>
      </c>
      <c r="F36" s="25">
        <v>62</v>
      </c>
      <c r="G36" s="25"/>
      <c r="H36" s="25"/>
      <c r="I36" s="25"/>
      <c r="J36" s="25"/>
      <c r="K36" s="25"/>
      <c r="L36" s="25"/>
      <c r="M36" s="25"/>
      <c r="N36" s="25"/>
      <c r="O36" s="25"/>
    </row>
    <row r="37" spans="1:15" x14ac:dyDescent="0.25">
      <c r="A37" s="25" t="s">
        <v>4</v>
      </c>
      <c r="B37" s="25">
        <v>9969</v>
      </c>
      <c r="C37" s="25">
        <v>24066</v>
      </c>
      <c r="D37" s="25">
        <v>33281</v>
      </c>
      <c r="E37" s="25">
        <v>22</v>
      </c>
      <c r="F37" s="25">
        <v>2</v>
      </c>
      <c r="G37" s="25"/>
      <c r="H37" s="25"/>
      <c r="I37" s="25"/>
      <c r="J37" s="25"/>
      <c r="K37" s="25"/>
      <c r="L37" s="25"/>
      <c r="M37" s="25"/>
      <c r="N37" s="25"/>
      <c r="O37" s="25"/>
    </row>
    <row r="38" spans="1:15" x14ac:dyDescent="0.25">
      <c r="A38" s="25" t="s">
        <v>235</v>
      </c>
      <c r="B38" s="25">
        <v>4704</v>
      </c>
      <c r="C38" s="25">
        <v>18.8</v>
      </c>
      <c r="D38" s="25">
        <v>2901</v>
      </c>
      <c r="E38" s="25">
        <v>279</v>
      </c>
      <c r="F38" s="25">
        <v>21</v>
      </c>
      <c r="G38" s="25">
        <v>166</v>
      </c>
      <c r="H38" s="25"/>
      <c r="I38" s="25"/>
      <c r="J38" s="25"/>
      <c r="K38" s="25"/>
      <c r="L38" s="25"/>
      <c r="M38" s="25"/>
      <c r="N38" s="25"/>
      <c r="O38" s="25"/>
    </row>
    <row r="39" spans="1:15" x14ac:dyDescent="0.25">
      <c r="A39" s="25" t="s">
        <v>457</v>
      </c>
      <c r="B39" s="25">
        <v>39279</v>
      </c>
      <c r="C39" s="25">
        <v>23101</v>
      </c>
      <c r="D39" s="25">
        <v>1597</v>
      </c>
      <c r="E39" s="25">
        <v>1130</v>
      </c>
      <c r="F39" s="25">
        <v>9</v>
      </c>
      <c r="G39" s="25">
        <v>40.799999999999997</v>
      </c>
      <c r="H39" s="25">
        <v>5</v>
      </c>
      <c r="I39" s="25">
        <v>320</v>
      </c>
      <c r="J39" s="25"/>
      <c r="K39" s="25"/>
      <c r="L39" s="25"/>
      <c r="M39" s="25"/>
      <c r="N39" s="25"/>
      <c r="O39" s="25"/>
    </row>
    <row r="40" spans="1:15" x14ac:dyDescent="0.25">
      <c r="A40" s="25" t="s">
        <v>428</v>
      </c>
      <c r="B40" s="25">
        <v>11756</v>
      </c>
      <c r="C40" s="25">
        <v>3.1</v>
      </c>
      <c r="D40" s="25">
        <v>2065</v>
      </c>
      <c r="E40" s="25">
        <v>0.55000000000000004</v>
      </c>
      <c r="F40" s="25">
        <v>59</v>
      </c>
      <c r="G40" s="25"/>
      <c r="H40" s="25"/>
      <c r="I40" s="25"/>
      <c r="J40" s="25"/>
      <c r="K40" s="25"/>
      <c r="L40" s="25"/>
      <c r="M40" s="25"/>
      <c r="N40" s="25"/>
      <c r="O40" s="25"/>
    </row>
    <row r="41" spans="1:15" x14ac:dyDescent="0.25">
      <c r="A41" s="25" t="s">
        <v>458</v>
      </c>
      <c r="B41" s="25">
        <v>9846</v>
      </c>
      <c r="C41" s="25">
        <v>732</v>
      </c>
      <c r="D41" s="25">
        <v>14</v>
      </c>
      <c r="E41" s="25">
        <v>0</v>
      </c>
      <c r="F41" s="25">
        <v>335</v>
      </c>
      <c r="G41" s="25">
        <v>273</v>
      </c>
      <c r="H41" s="25">
        <v>2654</v>
      </c>
      <c r="I41" s="25">
        <v>501</v>
      </c>
      <c r="J41" s="25">
        <v>86</v>
      </c>
      <c r="K41" s="25">
        <v>1067</v>
      </c>
      <c r="L41" s="25">
        <v>7191</v>
      </c>
      <c r="M41" s="25"/>
      <c r="N41" s="25"/>
      <c r="O41" s="25"/>
    </row>
    <row r="42" spans="1:15" x14ac:dyDescent="0.25">
      <c r="A42" s="25" t="s">
        <v>459</v>
      </c>
      <c r="B42" s="25">
        <v>542</v>
      </c>
      <c r="C42" s="25">
        <v>103</v>
      </c>
      <c r="D42" s="25">
        <v>74</v>
      </c>
      <c r="E42" s="25">
        <v>27</v>
      </c>
      <c r="F42" s="25">
        <v>19</v>
      </c>
      <c r="G42" s="25">
        <v>8</v>
      </c>
      <c r="H42" s="25">
        <v>830</v>
      </c>
      <c r="I42" s="25"/>
      <c r="J42" s="25"/>
      <c r="K42" s="25"/>
      <c r="L42" s="25"/>
      <c r="M42" s="25"/>
      <c r="N42" s="25"/>
      <c r="O42" s="25"/>
    </row>
    <row r="43" spans="1:15" x14ac:dyDescent="0.25">
      <c r="A43" s="25" t="s">
        <v>25</v>
      </c>
      <c r="B43" s="25">
        <v>8666</v>
      </c>
      <c r="C43" s="25">
        <v>56.6</v>
      </c>
      <c r="D43" s="25">
        <v>1.79</v>
      </c>
      <c r="E43" s="25">
        <v>7.8</v>
      </c>
      <c r="F43" s="25">
        <v>3342</v>
      </c>
      <c r="G43" s="25">
        <v>25.7</v>
      </c>
      <c r="H43" s="25"/>
      <c r="I43" s="25">
        <v>27.7</v>
      </c>
      <c r="J43" s="25">
        <v>25.7</v>
      </c>
      <c r="K43" s="25">
        <v>29.2</v>
      </c>
      <c r="L43" s="25">
        <v>23.2</v>
      </c>
      <c r="M43" s="25">
        <v>23.3</v>
      </c>
      <c r="N43" s="25"/>
      <c r="O43" s="25"/>
    </row>
    <row r="44" spans="1:15" x14ac:dyDescent="0.25">
      <c r="A44" s="25" t="s">
        <v>460</v>
      </c>
      <c r="B44" s="25">
        <v>186</v>
      </c>
      <c r="C44" s="25">
        <v>769</v>
      </c>
      <c r="D44" s="25">
        <v>272</v>
      </c>
      <c r="E44" s="25">
        <v>238</v>
      </c>
      <c r="F44" s="25">
        <v>85.9</v>
      </c>
      <c r="G44" s="25">
        <v>92.8</v>
      </c>
      <c r="H44" s="25">
        <v>798</v>
      </c>
      <c r="I44" s="25">
        <v>96.5</v>
      </c>
      <c r="J44" s="25">
        <v>264</v>
      </c>
      <c r="K44" s="25">
        <v>328</v>
      </c>
      <c r="L44" s="25"/>
      <c r="M44" s="25"/>
      <c r="N44" s="25"/>
      <c r="O44" s="25"/>
    </row>
    <row r="45" spans="1:15" x14ac:dyDescent="0.25">
      <c r="A45" s="25" t="s">
        <v>227</v>
      </c>
      <c r="B45" s="25">
        <v>2018</v>
      </c>
      <c r="C45" s="25">
        <v>8.1</v>
      </c>
      <c r="D45" s="25">
        <v>3038</v>
      </c>
      <c r="E45" s="25">
        <v>176</v>
      </c>
      <c r="F45" s="25"/>
      <c r="G45" s="25"/>
      <c r="H45" s="25"/>
      <c r="I45" s="25"/>
      <c r="J45" s="25"/>
      <c r="K45" s="25"/>
      <c r="L45" s="25"/>
      <c r="M45" s="25"/>
      <c r="N45" s="25"/>
      <c r="O45" s="25"/>
    </row>
    <row r="46" spans="1:15" x14ac:dyDescent="0.25">
      <c r="A46" s="25" t="s">
        <v>461</v>
      </c>
      <c r="B46" s="25">
        <v>1743</v>
      </c>
      <c r="C46" s="25">
        <v>5029</v>
      </c>
      <c r="D46" s="25">
        <v>20.399999999999999</v>
      </c>
      <c r="E46" s="25">
        <v>2</v>
      </c>
      <c r="F46" s="25">
        <v>453</v>
      </c>
      <c r="G46" s="25">
        <v>1</v>
      </c>
      <c r="H46" s="25">
        <v>241</v>
      </c>
      <c r="I46" s="25">
        <v>1157</v>
      </c>
      <c r="J46" s="25">
        <v>7759</v>
      </c>
      <c r="K46" s="25">
        <v>26.2</v>
      </c>
      <c r="L46" s="25">
        <v>97</v>
      </c>
      <c r="M46" s="25">
        <v>194</v>
      </c>
      <c r="N46" s="25">
        <v>5753</v>
      </c>
      <c r="O46" s="25"/>
    </row>
    <row r="47" spans="1:15" x14ac:dyDescent="0.25">
      <c r="A47" s="25" t="s">
        <v>434</v>
      </c>
      <c r="B47" s="25">
        <v>44</v>
      </c>
      <c r="C47" s="25">
        <v>10.199999999999999</v>
      </c>
      <c r="D47" s="25">
        <v>32</v>
      </c>
      <c r="E47" s="25">
        <v>7.4</v>
      </c>
      <c r="F47" s="25">
        <v>4008</v>
      </c>
      <c r="G47" s="25">
        <v>25606</v>
      </c>
      <c r="H47" s="25"/>
      <c r="I47" s="25"/>
      <c r="J47" s="25"/>
      <c r="K47" s="25"/>
      <c r="L47" s="25"/>
      <c r="M47" s="25"/>
      <c r="N47" s="25"/>
      <c r="O47" s="25"/>
    </row>
    <row r="48" spans="1:15" x14ac:dyDescent="0.25">
      <c r="A48" s="25" t="s">
        <v>228</v>
      </c>
      <c r="B48" s="25">
        <v>2743</v>
      </c>
      <c r="C48" s="25">
        <v>289</v>
      </c>
      <c r="D48" s="25">
        <v>2303</v>
      </c>
      <c r="E48" s="25">
        <v>1595</v>
      </c>
      <c r="F48" s="25">
        <v>1305</v>
      </c>
      <c r="G48" s="25">
        <v>1.47</v>
      </c>
      <c r="H48" s="25">
        <v>33.1</v>
      </c>
      <c r="I48" s="25">
        <v>36.299999999999997</v>
      </c>
      <c r="J48" s="25">
        <v>2980</v>
      </c>
      <c r="K48" s="25">
        <v>87.9</v>
      </c>
      <c r="L48" s="25"/>
      <c r="M48" s="25"/>
      <c r="N48" s="25"/>
      <c r="O48" s="25"/>
    </row>
    <row r="49" spans="1:15" x14ac:dyDescent="0.25">
      <c r="A49" s="25" t="s">
        <v>230</v>
      </c>
      <c r="B49" s="25">
        <v>100</v>
      </c>
      <c r="C49" s="25">
        <v>100</v>
      </c>
      <c r="D49" s="25">
        <v>100</v>
      </c>
      <c r="E49" s="25">
        <v>48.5</v>
      </c>
      <c r="F49" s="25">
        <v>53.3</v>
      </c>
      <c r="G49" s="25">
        <v>141</v>
      </c>
      <c r="H49" s="25"/>
      <c r="I49" s="25"/>
      <c r="J49" s="25"/>
      <c r="K49" s="25"/>
      <c r="L49" s="25"/>
      <c r="M49" s="25"/>
      <c r="N49" s="25"/>
      <c r="O49" s="25"/>
    </row>
    <row r="50" spans="1:15" x14ac:dyDescent="0.25">
      <c r="A50" s="25" t="s">
        <v>7</v>
      </c>
      <c r="B50" s="25">
        <v>74.099999999999994</v>
      </c>
      <c r="C50" s="25">
        <v>12</v>
      </c>
      <c r="D50" s="25">
        <v>2295</v>
      </c>
      <c r="E50" s="25">
        <v>6.2</v>
      </c>
      <c r="F50" s="25">
        <v>2266</v>
      </c>
      <c r="G50" s="25">
        <v>75.900000000000006</v>
      </c>
      <c r="H50" s="25"/>
      <c r="I50" s="25"/>
      <c r="J50" s="25"/>
      <c r="K50" s="25"/>
      <c r="L50" s="25"/>
      <c r="M50" s="25"/>
      <c r="N50" s="25"/>
      <c r="O50" s="25"/>
    </row>
    <row r="51" spans="1:15" x14ac:dyDescent="0.25">
      <c r="A51" s="25" t="s">
        <v>8</v>
      </c>
      <c r="B51" s="25">
        <v>213204</v>
      </c>
      <c r="C51" s="25">
        <v>124482</v>
      </c>
      <c r="D51" s="25">
        <v>7301</v>
      </c>
      <c r="E51" s="25">
        <v>29249</v>
      </c>
      <c r="F51" s="25">
        <v>142567</v>
      </c>
      <c r="G51" s="25">
        <v>39061</v>
      </c>
      <c r="H51" s="25">
        <v>2.4</v>
      </c>
      <c r="I51" s="25">
        <v>3.01</v>
      </c>
      <c r="J51" s="25">
        <v>6.76</v>
      </c>
      <c r="K51" s="25">
        <v>4611</v>
      </c>
      <c r="L51" s="25">
        <v>2454</v>
      </c>
      <c r="M51" s="25">
        <v>44</v>
      </c>
      <c r="N51" s="25">
        <v>0</v>
      </c>
      <c r="O51" s="25"/>
    </row>
    <row r="52" spans="1:15" x14ac:dyDescent="0.25">
      <c r="A52" s="25" t="s">
        <v>462</v>
      </c>
      <c r="B52" s="25">
        <v>23</v>
      </c>
      <c r="C52" s="25">
        <v>21</v>
      </c>
      <c r="D52" s="25">
        <v>19</v>
      </c>
      <c r="E52" s="25">
        <v>17</v>
      </c>
      <c r="F52" s="25">
        <v>0</v>
      </c>
      <c r="G52" s="25">
        <v>0</v>
      </c>
      <c r="H52" s="25">
        <v>0</v>
      </c>
      <c r="I52" s="25">
        <v>1945</v>
      </c>
      <c r="J52" s="25"/>
      <c r="K52" s="25"/>
      <c r="L52" s="25"/>
      <c r="M52" s="25"/>
      <c r="N52" s="25"/>
      <c r="O52" s="25"/>
    </row>
    <row r="53" spans="1:15" x14ac:dyDescent="0.25">
      <c r="A53" s="25" t="s">
        <v>463</v>
      </c>
      <c r="B53" s="25">
        <v>205</v>
      </c>
      <c r="C53" s="25">
        <v>0</v>
      </c>
      <c r="D53" s="25">
        <v>263</v>
      </c>
      <c r="E53" s="25">
        <v>19</v>
      </c>
      <c r="F53" s="25">
        <v>4824</v>
      </c>
      <c r="G53" s="25">
        <v>594</v>
      </c>
      <c r="H53" s="25">
        <v>240</v>
      </c>
      <c r="I53" s="25">
        <v>98.4</v>
      </c>
      <c r="J53" s="25">
        <v>655</v>
      </c>
      <c r="K53" s="25">
        <v>98.9</v>
      </c>
      <c r="L53" s="25">
        <v>195</v>
      </c>
      <c r="M53" s="25"/>
      <c r="N53" s="25"/>
      <c r="O53" s="25"/>
    </row>
    <row r="54" spans="1:15" x14ac:dyDescent="0.25">
      <c r="A54" s="25" t="s">
        <v>9</v>
      </c>
      <c r="B54" s="25">
        <v>1756</v>
      </c>
      <c r="C54" s="25">
        <v>1441</v>
      </c>
      <c r="D54" s="25">
        <v>5223</v>
      </c>
      <c r="E54" s="25">
        <v>1073</v>
      </c>
      <c r="F54" s="25">
        <v>7.06</v>
      </c>
      <c r="G54" s="25">
        <v>228655</v>
      </c>
      <c r="H54" s="25">
        <v>175046</v>
      </c>
      <c r="I54" s="25"/>
      <c r="J54" s="25"/>
      <c r="K54" s="25"/>
      <c r="L54" s="25"/>
      <c r="M54" s="25"/>
      <c r="N54" s="25"/>
      <c r="O54" s="25"/>
    </row>
    <row r="55" spans="1:15" x14ac:dyDescent="0.25">
      <c r="A55" s="25" t="s">
        <v>61</v>
      </c>
      <c r="B55" s="25">
        <v>50</v>
      </c>
      <c r="C55" s="25">
        <v>115</v>
      </c>
      <c r="D55" s="25">
        <v>40</v>
      </c>
      <c r="E55" s="25">
        <v>1414</v>
      </c>
      <c r="F55" s="25"/>
      <c r="G55" s="25"/>
      <c r="H55" s="25"/>
      <c r="I55" s="25"/>
      <c r="J55" s="25"/>
      <c r="K55" s="25"/>
      <c r="L55" s="25"/>
      <c r="M55" s="25"/>
      <c r="N55" s="25"/>
      <c r="O55" s="25"/>
    </row>
    <row r="56" spans="1:15" x14ac:dyDescent="0.25">
      <c r="A56" s="25" t="s">
        <v>233</v>
      </c>
      <c r="B56" s="25">
        <v>313790</v>
      </c>
      <c r="C56" s="25">
        <v>62588</v>
      </c>
      <c r="D56" s="25">
        <v>17966</v>
      </c>
      <c r="E56" s="25">
        <v>3.5</v>
      </c>
      <c r="F56" s="25">
        <v>0.23</v>
      </c>
      <c r="G56" s="25">
        <v>8.2899999999999991</v>
      </c>
      <c r="H56" s="25">
        <v>1.9</v>
      </c>
      <c r="I56" s="25"/>
      <c r="J56" s="25"/>
      <c r="K56" s="25"/>
      <c r="L56" s="25"/>
      <c r="M56" s="25"/>
      <c r="N56" s="25"/>
      <c r="O56" s="25"/>
    </row>
    <row r="57" spans="1:15" x14ac:dyDescent="0.25">
      <c r="A57" s="25" t="s">
        <v>10</v>
      </c>
      <c r="B57" s="25">
        <v>12638</v>
      </c>
      <c r="C57" s="25">
        <v>62</v>
      </c>
      <c r="D57" s="25">
        <v>648</v>
      </c>
      <c r="E57" s="25">
        <v>29</v>
      </c>
      <c r="F57" s="25">
        <v>18.399999999999999</v>
      </c>
      <c r="G57" s="25">
        <v>8698</v>
      </c>
      <c r="H57" s="25">
        <v>1953</v>
      </c>
      <c r="I57" s="25">
        <v>603</v>
      </c>
      <c r="J57" s="25">
        <v>20.8</v>
      </c>
      <c r="K57" s="25">
        <v>34.5</v>
      </c>
      <c r="L57" s="25"/>
      <c r="M57" s="25"/>
      <c r="N57" s="25"/>
      <c r="O57" s="25"/>
    </row>
    <row r="58" spans="1:15" x14ac:dyDescent="0.25">
      <c r="A58" s="25" t="s">
        <v>229</v>
      </c>
      <c r="B58" s="25">
        <v>4261</v>
      </c>
      <c r="C58" s="25">
        <v>1225</v>
      </c>
      <c r="D58" s="25">
        <v>1024</v>
      </c>
      <c r="E58" s="25">
        <v>799</v>
      </c>
      <c r="F58" s="25">
        <v>3.99</v>
      </c>
      <c r="G58" s="25">
        <v>21310</v>
      </c>
      <c r="H58" s="25">
        <v>85.3</v>
      </c>
      <c r="I58" s="25"/>
      <c r="J58" s="25"/>
      <c r="K58" s="25"/>
      <c r="L58" s="25"/>
      <c r="M58" s="25"/>
      <c r="N58" s="25"/>
      <c r="O58" s="25"/>
    </row>
    <row r="59" spans="1:15" x14ac:dyDescent="0.25">
      <c r="A59" s="25" t="s">
        <v>11</v>
      </c>
      <c r="B59" s="25">
        <v>985</v>
      </c>
      <c r="C59" s="25">
        <v>63.2</v>
      </c>
      <c r="D59" s="25">
        <v>7.25</v>
      </c>
      <c r="E59" s="25">
        <v>31.2</v>
      </c>
      <c r="F59" s="25">
        <v>48562</v>
      </c>
      <c r="G59" s="25">
        <v>126</v>
      </c>
      <c r="H59" s="25">
        <v>97.2</v>
      </c>
      <c r="I59" s="25">
        <v>100</v>
      </c>
      <c r="J59" s="25">
        <v>99.3</v>
      </c>
      <c r="K59" s="25">
        <v>99.3</v>
      </c>
      <c r="L59" s="25">
        <v>215.4</v>
      </c>
      <c r="M59" s="25"/>
      <c r="N59" s="25"/>
      <c r="O59" s="25"/>
    </row>
    <row r="60" spans="1:15" x14ac:dyDescent="0.25">
      <c r="A60" s="25" t="s">
        <v>12</v>
      </c>
      <c r="B60" s="25">
        <v>2</v>
      </c>
      <c r="C60" s="25">
        <v>353</v>
      </c>
      <c r="D60" s="25">
        <v>1</v>
      </c>
      <c r="E60" s="25">
        <v>94.6</v>
      </c>
      <c r="F60" s="25">
        <v>0</v>
      </c>
      <c r="G60" s="25">
        <v>1.6</v>
      </c>
      <c r="H60" s="25"/>
      <c r="I60" s="25"/>
      <c r="J60" s="25"/>
      <c r="K60" s="25"/>
      <c r="L60" s="25"/>
      <c r="M60" s="25"/>
      <c r="N60" s="25"/>
      <c r="O60" s="25"/>
    </row>
    <row r="61" spans="1:15" x14ac:dyDescent="0.25">
      <c r="A61" s="25" t="s">
        <v>13</v>
      </c>
      <c r="B61" s="25">
        <v>2109</v>
      </c>
      <c r="C61" s="25">
        <v>1503</v>
      </c>
      <c r="D61" s="25">
        <v>96.1</v>
      </c>
      <c r="E61" s="25">
        <v>87.2</v>
      </c>
      <c r="F61" s="25">
        <v>95.2</v>
      </c>
      <c r="G61" s="25">
        <v>0</v>
      </c>
      <c r="H61" s="25">
        <v>28041</v>
      </c>
      <c r="I61" s="25">
        <v>0</v>
      </c>
      <c r="J61" s="25">
        <v>103</v>
      </c>
      <c r="K61" s="25"/>
      <c r="L61" s="25"/>
      <c r="M61" s="25"/>
      <c r="N61" s="25"/>
      <c r="O61" s="25"/>
    </row>
    <row r="62" spans="1:15" x14ac:dyDescent="0.25">
      <c r="A62" s="25" t="s">
        <v>464</v>
      </c>
      <c r="B62" s="25">
        <v>1861</v>
      </c>
      <c r="C62" s="25">
        <v>1097</v>
      </c>
      <c r="D62" s="25">
        <v>2898</v>
      </c>
      <c r="E62" s="25">
        <v>11.8</v>
      </c>
      <c r="F62" s="25"/>
      <c r="G62" s="25"/>
      <c r="H62" s="25"/>
      <c r="I62" s="25"/>
      <c r="J62" s="25"/>
      <c r="K62" s="25"/>
      <c r="L62" s="25"/>
      <c r="M62" s="25"/>
      <c r="N62" s="25"/>
      <c r="O62" s="25"/>
    </row>
    <row r="63" spans="1:15" x14ac:dyDescent="0.25">
      <c r="A63" s="25" t="s">
        <v>14</v>
      </c>
      <c r="B63" s="25">
        <v>9001</v>
      </c>
      <c r="C63" s="25">
        <v>1928</v>
      </c>
      <c r="D63" s="25">
        <v>6</v>
      </c>
      <c r="E63" s="25">
        <v>6675</v>
      </c>
      <c r="F63" s="25"/>
      <c r="G63" s="25"/>
      <c r="H63" s="25"/>
      <c r="I63" s="25"/>
      <c r="J63" s="25"/>
      <c r="K63" s="25"/>
      <c r="L63" s="25"/>
      <c r="M63" s="25"/>
      <c r="N63" s="25"/>
      <c r="O63" s="25"/>
    </row>
    <row r="64" spans="1:15" x14ac:dyDescent="0.25">
      <c r="A64" s="25" t="s">
        <v>232</v>
      </c>
      <c r="B64" s="25">
        <v>51109</v>
      </c>
      <c r="C64" s="25">
        <v>7686</v>
      </c>
      <c r="D64" s="25">
        <v>2488</v>
      </c>
      <c r="E64" s="25">
        <v>9.9</v>
      </c>
      <c r="F64" s="25">
        <v>13.3</v>
      </c>
      <c r="G64" s="25">
        <v>11</v>
      </c>
      <c r="H64" s="25">
        <v>36.700000000000003</v>
      </c>
      <c r="I64" s="25">
        <v>32.200000000000003</v>
      </c>
      <c r="J64" s="25">
        <v>11.6</v>
      </c>
      <c r="K64" s="25"/>
      <c r="L64" s="25"/>
      <c r="M64" s="25"/>
      <c r="N64" s="25"/>
      <c r="O64" s="25"/>
    </row>
    <row r="65" spans="1:15" x14ac:dyDescent="0.25">
      <c r="A65" s="40">
        <v>911</v>
      </c>
      <c r="B65" s="25">
        <v>122006</v>
      </c>
      <c r="C65" s="25">
        <v>2.36</v>
      </c>
      <c r="D65" s="25">
        <v>0.92</v>
      </c>
      <c r="E65" s="25">
        <v>3.05</v>
      </c>
      <c r="F65" s="25">
        <v>4.51</v>
      </c>
      <c r="G65" s="25"/>
      <c r="H65" s="25"/>
      <c r="I65" s="25"/>
      <c r="J65" s="25"/>
      <c r="K65" s="25"/>
      <c r="L65" s="25"/>
      <c r="M65" s="25"/>
      <c r="N65" s="25"/>
      <c r="O65" s="25"/>
    </row>
    <row r="66" spans="1:15" x14ac:dyDescent="0.25">
      <c r="A66" s="25"/>
      <c r="B66" s="25"/>
      <c r="C66" s="25"/>
      <c r="D66" s="25"/>
      <c r="E66" s="25"/>
      <c r="F66" s="25"/>
      <c r="G66" s="25"/>
      <c r="H66" s="25"/>
      <c r="I66" s="25"/>
      <c r="J66" s="25"/>
      <c r="K66" s="25"/>
      <c r="L66" s="25"/>
      <c r="M66" s="25"/>
      <c r="N66" s="25"/>
      <c r="O66" s="25"/>
    </row>
    <row r="67" spans="1:15" x14ac:dyDescent="0.25">
      <c r="A67" s="25" t="s">
        <v>477</v>
      </c>
      <c r="B67" s="25"/>
      <c r="C67" s="25"/>
      <c r="D67" s="25"/>
      <c r="E67" s="25"/>
      <c r="F67" s="25"/>
      <c r="G67" s="25"/>
      <c r="H67" s="25"/>
      <c r="I67" s="25" t="s">
        <v>476</v>
      </c>
      <c r="J67" s="25"/>
      <c r="K67" s="25"/>
      <c r="L67" s="25"/>
      <c r="M67" s="25"/>
      <c r="N67" s="25"/>
      <c r="O67" s="25"/>
    </row>
    <row r="68" spans="1:15" x14ac:dyDescent="0.25">
      <c r="A68" s="43" t="s">
        <v>456</v>
      </c>
      <c r="B68" s="43">
        <v>1</v>
      </c>
      <c r="C68" s="43">
        <v>2</v>
      </c>
      <c r="D68" s="43">
        <v>3</v>
      </c>
      <c r="E68" s="43">
        <v>4</v>
      </c>
      <c r="F68" s="43">
        <v>5</v>
      </c>
      <c r="G68" s="43">
        <v>6</v>
      </c>
      <c r="H68" s="43">
        <v>7</v>
      </c>
      <c r="I68" s="43">
        <v>8</v>
      </c>
      <c r="J68" s="43">
        <v>9</v>
      </c>
      <c r="K68" s="43">
        <v>10</v>
      </c>
      <c r="L68" s="43">
        <v>11</v>
      </c>
      <c r="M68" s="43">
        <v>12</v>
      </c>
      <c r="N68" s="43">
        <v>13</v>
      </c>
      <c r="O68" s="25"/>
    </row>
    <row r="69" spans="1:15" x14ac:dyDescent="0.25">
      <c r="A69" s="25" t="s">
        <v>454</v>
      </c>
      <c r="B69" s="25">
        <v>68329</v>
      </c>
      <c r="C69" s="25">
        <v>65</v>
      </c>
      <c r="D69" s="25">
        <v>211</v>
      </c>
      <c r="E69" s="25">
        <v>44198</v>
      </c>
      <c r="F69" s="25">
        <v>68</v>
      </c>
      <c r="G69" s="25"/>
      <c r="H69" s="25"/>
      <c r="I69" s="25"/>
      <c r="J69" s="25"/>
      <c r="K69" s="25"/>
      <c r="L69" s="25"/>
      <c r="M69" s="25"/>
      <c r="N69" s="25"/>
      <c r="O69" s="25"/>
    </row>
    <row r="70" spans="1:15" x14ac:dyDescent="0.25">
      <c r="A70" s="25" t="s">
        <v>4</v>
      </c>
      <c r="B70" s="25">
        <v>10271</v>
      </c>
      <c r="C70" s="25">
        <v>21140</v>
      </c>
      <c r="D70" s="25">
        <v>49792</v>
      </c>
      <c r="E70" s="25">
        <v>19.100000000000001</v>
      </c>
      <c r="F70" s="25">
        <v>5.3</v>
      </c>
      <c r="G70" s="25"/>
      <c r="H70" s="25"/>
      <c r="I70" s="25"/>
      <c r="J70" s="25"/>
      <c r="K70" s="25"/>
      <c r="L70" s="25"/>
      <c r="M70" s="25"/>
      <c r="N70" s="25"/>
      <c r="O70" s="25"/>
    </row>
    <row r="71" spans="1:15" x14ac:dyDescent="0.25">
      <c r="A71" s="25" t="s">
        <v>235</v>
      </c>
      <c r="B71" s="25">
        <v>3925</v>
      </c>
      <c r="C71" s="25">
        <v>15.9</v>
      </c>
      <c r="D71" s="25">
        <v>2052</v>
      </c>
      <c r="E71" s="25">
        <v>340</v>
      </c>
      <c r="F71" s="25">
        <v>50</v>
      </c>
      <c r="G71" s="25">
        <v>132</v>
      </c>
      <c r="H71" s="25"/>
      <c r="I71" s="25"/>
      <c r="J71" s="25"/>
      <c r="K71" s="25"/>
      <c r="L71" s="25"/>
      <c r="M71" s="25"/>
      <c r="N71" s="25"/>
      <c r="O71" s="25"/>
    </row>
    <row r="72" spans="1:15" x14ac:dyDescent="0.25">
      <c r="A72" s="25" t="s">
        <v>457</v>
      </c>
      <c r="B72" s="25">
        <v>39784</v>
      </c>
      <c r="C72" s="25">
        <v>78185</v>
      </c>
      <c r="D72" s="25">
        <v>3217</v>
      </c>
      <c r="E72" s="25">
        <v>3201</v>
      </c>
      <c r="F72" s="25">
        <v>21.4</v>
      </c>
      <c r="G72" s="25">
        <v>38.9</v>
      </c>
      <c r="H72" s="25">
        <v>5.5</v>
      </c>
      <c r="I72" s="25">
        <v>667</v>
      </c>
      <c r="J72" s="25"/>
      <c r="K72" s="25"/>
      <c r="L72" s="25"/>
      <c r="M72" s="25"/>
      <c r="N72" s="25"/>
      <c r="O72" s="25"/>
    </row>
    <row r="73" spans="1:15" x14ac:dyDescent="0.25">
      <c r="A73" s="25" t="s">
        <v>428</v>
      </c>
      <c r="B73" s="25">
        <v>12252</v>
      </c>
      <c r="C73" s="25">
        <v>3.3</v>
      </c>
      <c r="D73" s="25">
        <v>2297</v>
      </c>
      <c r="E73" s="25">
        <v>0.62</v>
      </c>
      <c r="F73" s="25">
        <v>47.5</v>
      </c>
      <c r="G73" s="25"/>
      <c r="H73" s="25"/>
      <c r="I73" s="25"/>
      <c r="J73" s="25"/>
      <c r="K73" s="25"/>
      <c r="L73" s="25"/>
      <c r="M73" s="25"/>
      <c r="N73" s="25"/>
      <c r="O73" s="25"/>
    </row>
    <row r="74" spans="1:15" x14ac:dyDescent="0.25">
      <c r="A74" s="25" t="s">
        <v>458</v>
      </c>
      <c r="B74" s="25"/>
      <c r="C74" s="25"/>
      <c r="D74" s="25"/>
      <c r="E74" s="25"/>
      <c r="F74" s="25"/>
      <c r="G74" s="25"/>
      <c r="H74" s="25"/>
      <c r="I74" s="25"/>
      <c r="J74" s="25"/>
      <c r="K74" s="25"/>
      <c r="L74" s="25"/>
      <c r="M74" s="25"/>
      <c r="N74" s="25"/>
      <c r="O74" s="25"/>
    </row>
    <row r="75" spans="1:15" x14ac:dyDescent="0.25">
      <c r="A75" s="25" t="s">
        <v>459</v>
      </c>
      <c r="B75" s="25">
        <v>510</v>
      </c>
      <c r="C75" s="25">
        <v>111</v>
      </c>
      <c r="D75" s="25">
        <v>74</v>
      </c>
      <c r="E75" s="25">
        <v>22</v>
      </c>
      <c r="F75" s="25">
        <v>26</v>
      </c>
      <c r="G75" s="25">
        <v>7</v>
      </c>
      <c r="H75" s="25">
        <v>284</v>
      </c>
      <c r="I75" s="25"/>
      <c r="J75" s="25"/>
      <c r="K75" s="25"/>
      <c r="L75" s="25"/>
      <c r="M75" s="25"/>
      <c r="N75" s="25"/>
      <c r="O75" s="25"/>
    </row>
    <row r="76" spans="1:15" x14ac:dyDescent="0.25">
      <c r="A76" s="25" t="s">
        <v>25</v>
      </c>
      <c r="B76" s="25">
        <v>8625</v>
      </c>
      <c r="C76" s="25">
        <v>58.6</v>
      </c>
      <c r="D76" s="25">
        <v>1.67</v>
      </c>
      <c r="E76" s="25">
        <v>7.86</v>
      </c>
      <c r="F76" s="25">
        <v>3200</v>
      </c>
      <c r="G76" s="25">
        <v>26.7</v>
      </c>
      <c r="H76" s="25"/>
      <c r="I76" s="25">
        <v>28.3</v>
      </c>
      <c r="J76" s="25">
        <v>26.1</v>
      </c>
      <c r="K76" s="25">
        <v>30.7</v>
      </c>
      <c r="L76" s="25">
        <v>22.9</v>
      </c>
      <c r="M76" s="25">
        <v>24.9</v>
      </c>
      <c r="N76" s="25"/>
      <c r="O76" s="25"/>
    </row>
    <row r="77" spans="1:15" x14ac:dyDescent="0.25">
      <c r="A77" s="25" t="s">
        <v>460</v>
      </c>
      <c r="B77" s="25">
        <v>157</v>
      </c>
      <c r="C77" s="25">
        <v>768</v>
      </c>
      <c r="D77" s="25">
        <v>318</v>
      </c>
      <c r="E77" s="25">
        <v>237</v>
      </c>
      <c r="F77" s="25">
        <v>74.8</v>
      </c>
      <c r="G77" s="25">
        <v>94.9</v>
      </c>
      <c r="H77" s="25">
        <v>691</v>
      </c>
      <c r="I77" s="25">
        <v>100</v>
      </c>
      <c r="J77" s="25">
        <v>215</v>
      </c>
      <c r="K77" s="25">
        <v>238</v>
      </c>
      <c r="L77" s="25"/>
      <c r="M77" s="25"/>
      <c r="N77" s="25"/>
      <c r="O77" s="25"/>
    </row>
    <row r="78" spans="1:15" x14ac:dyDescent="0.25">
      <c r="A78" s="25" t="s">
        <v>227</v>
      </c>
      <c r="B78" s="25">
        <v>1988</v>
      </c>
      <c r="C78" s="25">
        <v>8.07</v>
      </c>
      <c r="D78" s="25">
        <v>2672</v>
      </c>
      <c r="E78" s="25">
        <v>147</v>
      </c>
      <c r="F78" s="25"/>
      <c r="G78" s="25"/>
      <c r="H78" s="25"/>
      <c r="I78" s="25"/>
      <c r="J78" s="25"/>
      <c r="K78" s="25"/>
      <c r="L78" s="25"/>
      <c r="M78" s="25"/>
      <c r="N78" s="25"/>
      <c r="O78" s="25"/>
    </row>
    <row r="79" spans="1:15" x14ac:dyDescent="0.25">
      <c r="A79" s="25" t="s">
        <v>461</v>
      </c>
      <c r="B79" s="25">
        <v>1589</v>
      </c>
      <c r="C79" s="25">
        <v>4665</v>
      </c>
      <c r="D79" s="25">
        <v>18.8</v>
      </c>
      <c r="E79" s="25">
        <v>8</v>
      </c>
      <c r="F79" s="25">
        <v>375</v>
      </c>
      <c r="G79" s="25">
        <v>1</v>
      </c>
      <c r="H79" s="25">
        <v>155</v>
      </c>
      <c r="I79" s="25">
        <v>995</v>
      </c>
      <c r="J79" s="25">
        <v>7440</v>
      </c>
      <c r="K79" s="25">
        <v>28.3</v>
      </c>
      <c r="L79" s="25">
        <v>95</v>
      </c>
      <c r="M79" s="25">
        <v>220</v>
      </c>
      <c r="N79" s="25">
        <v>5307</v>
      </c>
      <c r="O79" s="25"/>
    </row>
    <row r="80" spans="1:15" x14ac:dyDescent="0.25">
      <c r="A80" s="25" t="s">
        <v>434</v>
      </c>
      <c r="B80" s="25">
        <v>38</v>
      </c>
      <c r="C80" s="25">
        <v>9.0500000000000007</v>
      </c>
      <c r="D80" s="25">
        <v>31</v>
      </c>
      <c r="E80" s="25">
        <v>7.48</v>
      </c>
      <c r="F80" s="25">
        <v>3227</v>
      </c>
      <c r="G80" s="25">
        <v>26989</v>
      </c>
      <c r="H80" s="25"/>
      <c r="I80" s="25"/>
      <c r="J80" s="25"/>
      <c r="K80" s="25"/>
      <c r="L80" s="25"/>
      <c r="M80" s="25"/>
      <c r="N80" s="25"/>
      <c r="O80" s="25"/>
    </row>
    <row r="81" spans="1:15" x14ac:dyDescent="0.25">
      <c r="A81" s="25" t="s">
        <v>228</v>
      </c>
      <c r="B81" s="25">
        <v>2304</v>
      </c>
      <c r="C81" s="25">
        <v>281</v>
      </c>
      <c r="D81" s="25">
        <v>2445</v>
      </c>
      <c r="E81" s="25">
        <v>1374</v>
      </c>
      <c r="F81" s="25">
        <v>1342</v>
      </c>
      <c r="G81" s="25">
        <v>1.53</v>
      </c>
      <c r="H81" s="25">
        <v>31.5</v>
      </c>
      <c r="I81" s="25">
        <v>32.4</v>
      </c>
      <c r="J81" s="25">
        <v>3222</v>
      </c>
      <c r="K81" s="25">
        <v>89.2</v>
      </c>
      <c r="L81" s="25"/>
      <c r="M81" s="25"/>
      <c r="N81" s="25"/>
      <c r="O81" s="25"/>
    </row>
    <row r="82" spans="1:15" x14ac:dyDescent="0.25">
      <c r="A82" s="25" t="s">
        <v>230</v>
      </c>
      <c r="B82" s="25">
        <v>100</v>
      </c>
      <c r="C82" s="25">
        <v>100</v>
      </c>
      <c r="D82" s="25">
        <v>100</v>
      </c>
      <c r="E82" s="25">
        <v>49</v>
      </c>
      <c r="F82" s="25">
        <v>58</v>
      </c>
      <c r="G82" s="25">
        <v>112</v>
      </c>
      <c r="H82" s="25"/>
      <c r="I82" s="25"/>
      <c r="J82" s="25"/>
      <c r="K82" s="25"/>
      <c r="L82" s="25"/>
      <c r="M82" s="25"/>
      <c r="N82" s="25"/>
      <c r="O82" s="25"/>
    </row>
    <row r="83" spans="1:15" x14ac:dyDescent="0.25">
      <c r="A83" s="25" t="s">
        <v>7</v>
      </c>
      <c r="B83" s="25">
        <v>73.400000000000006</v>
      </c>
      <c r="C83" s="25">
        <v>12.9</v>
      </c>
      <c r="D83" s="25">
        <v>2084</v>
      </c>
      <c r="E83" s="25">
        <v>5.7</v>
      </c>
      <c r="F83" s="25">
        <v>2094</v>
      </c>
      <c r="G83" s="25">
        <v>66.599999999999994</v>
      </c>
      <c r="H83" s="25"/>
      <c r="I83" s="25"/>
      <c r="J83" s="25"/>
      <c r="K83" s="25"/>
      <c r="L83" s="25"/>
      <c r="M83" s="25"/>
      <c r="N83" s="25"/>
      <c r="O83" s="25"/>
    </row>
    <row r="84" spans="1:15" x14ac:dyDescent="0.25">
      <c r="A84" s="25" t="s">
        <v>8</v>
      </c>
      <c r="B84" s="25">
        <v>190288</v>
      </c>
      <c r="C84" s="25">
        <v>111973</v>
      </c>
      <c r="D84" s="25">
        <v>8552</v>
      </c>
      <c r="E84" s="25">
        <v>30437</v>
      </c>
      <c r="F84" s="25">
        <v>144869</v>
      </c>
      <c r="G84" s="25">
        <v>35186</v>
      </c>
      <c r="H84" s="25">
        <v>2.57</v>
      </c>
      <c r="I84" s="25">
        <v>3.13</v>
      </c>
      <c r="J84" s="25">
        <v>6.51</v>
      </c>
      <c r="K84" s="25">
        <v>3508</v>
      </c>
      <c r="L84" s="25">
        <v>2286</v>
      </c>
      <c r="M84" s="25">
        <v>39</v>
      </c>
      <c r="N84" s="25">
        <v>0</v>
      </c>
      <c r="O84" s="25"/>
    </row>
    <row r="85" spans="1:15" x14ac:dyDescent="0.25">
      <c r="A85" s="25" t="s">
        <v>462</v>
      </c>
      <c r="B85" s="25">
        <v>14</v>
      </c>
      <c r="C85" s="25">
        <v>14</v>
      </c>
      <c r="D85" s="25">
        <v>15</v>
      </c>
      <c r="E85" s="25">
        <v>14</v>
      </c>
      <c r="F85" s="25">
        <v>0</v>
      </c>
      <c r="G85" s="25">
        <v>0</v>
      </c>
      <c r="H85" s="25">
        <v>1240</v>
      </c>
      <c r="I85" s="25">
        <v>3.3</v>
      </c>
      <c r="J85" s="25">
        <v>3.3</v>
      </c>
      <c r="K85" s="25"/>
      <c r="L85" s="25"/>
      <c r="M85" s="25"/>
      <c r="N85" s="25"/>
      <c r="O85" s="25"/>
    </row>
    <row r="86" spans="1:15" x14ac:dyDescent="0.25">
      <c r="A86" s="25" t="s">
        <v>463</v>
      </c>
      <c r="B86" s="25">
        <v>309</v>
      </c>
      <c r="C86" s="25">
        <v>1</v>
      </c>
      <c r="D86" s="25">
        <v>381</v>
      </c>
      <c r="E86" s="25">
        <v>23</v>
      </c>
      <c r="F86" s="25">
        <v>3545</v>
      </c>
      <c r="G86" s="25">
        <v>506</v>
      </c>
      <c r="H86" s="25">
        <v>3436</v>
      </c>
      <c r="I86" s="25">
        <v>94.2</v>
      </c>
      <c r="J86" s="25">
        <v>586</v>
      </c>
      <c r="K86" s="25">
        <v>95.8</v>
      </c>
      <c r="L86" s="25">
        <v>139</v>
      </c>
      <c r="M86" s="25"/>
      <c r="N86" s="25"/>
      <c r="O86" s="25"/>
    </row>
    <row r="87" spans="1:15" x14ac:dyDescent="0.25">
      <c r="A87" s="25" t="s">
        <v>9</v>
      </c>
      <c r="B87" s="25">
        <v>2070</v>
      </c>
      <c r="C87" s="25">
        <v>1635</v>
      </c>
      <c r="D87" s="25">
        <v>4892</v>
      </c>
      <c r="E87" s="25">
        <v>755</v>
      </c>
      <c r="F87" s="25">
        <v>8.4</v>
      </c>
      <c r="G87" s="25">
        <v>243999</v>
      </c>
      <c r="H87" s="25">
        <v>215236</v>
      </c>
      <c r="I87" s="25"/>
      <c r="J87" s="25"/>
      <c r="K87" s="25"/>
      <c r="L87" s="25"/>
      <c r="M87" s="25"/>
      <c r="N87" s="25"/>
      <c r="O87" s="25"/>
    </row>
    <row r="88" spans="1:15" x14ac:dyDescent="0.25">
      <c r="A88" s="25" t="s">
        <v>61</v>
      </c>
      <c r="B88" s="25">
        <v>29</v>
      </c>
      <c r="C88" s="25">
        <v>127</v>
      </c>
      <c r="D88" s="25">
        <v>33</v>
      </c>
      <c r="E88" s="25">
        <v>1323</v>
      </c>
      <c r="F88" s="25"/>
      <c r="G88" s="25"/>
      <c r="H88" s="25"/>
      <c r="I88" s="25"/>
      <c r="J88" s="25"/>
      <c r="K88" s="25"/>
      <c r="L88" s="25"/>
      <c r="M88" s="25"/>
      <c r="N88" s="25"/>
      <c r="O88" s="25"/>
    </row>
    <row r="89" spans="1:15" x14ac:dyDescent="0.25">
      <c r="A89" s="25" t="s">
        <v>233</v>
      </c>
      <c r="B89" s="25">
        <v>286007</v>
      </c>
      <c r="C89" s="25">
        <v>53350</v>
      </c>
      <c r="D89" s="25">
        <v>16929</v>
      </c>
      <c r="E89" s="25">
        <v>3.3</v>
      </c>
      <c r="F89" s="25">
        <v>0.2</v>
      </c>
      <c r="G89" s="25">
        <v>10.18</v>
      </c>
      <c r="H89" s="25">
        <v>1.91</v>
      </c>
      <c r="I89" s="25"/>
      <c r="J89" s="25"/>
      <c r="K89" s="25"/>
      <c r="L89" s="25"/>
      <c r="M89" s="25"/>
      <c r="N89" s="25"/>
      <c r="O89" s="25"/>
    </row>
    <row r="90" spans="1:15" x14ac:dyDescent="0.25">
      <c r="A90" s="25" t="s">
        <v>10</v>
      </c>
      <c r="B90" s="25">
        <v>12785</v>
      </c>
      <c r="C90" s="25">
        <v>50</v>
      </c>
      <c r="D90" s="25">
        <v>498</v>
      </c>
      <c r="E90" s="25">
        <v>19</v>
      </c>
      <c r="F90" s="25">
        <v>27.8</v>
      </c>
      <c r="G90" s="25">
        <v>4874</v>
      </c>
      <c r="H90" s="25">
        <v>3146</v>
      </c>
      <c r="I90" s="25">
        <v>1178</v>
      </c>
      <c r="J90" s="25">
        <v>20.399999999999999</v>
      </c>
      <c r="K90" s="25">
        <v>35.299999999999997</v>
      </c>
      <c r="L90" s="25"/>
      <c r="M90" s="25"/>
      <c r="N90" s="25"/>
      <c r="O90" s="25"/>
    </row>
    <row r="91" spans="1:15" x14ac:dyDescent="0.25">
      <c r="A91" s="25" t="s">
        <v>229</v>
      </c>
      <c r="B91" s="25">
        <v>3819</v>
      </c>
      <c r="C91" s="25">
        <v>1116</v>
      </c>
      <c r="D91" s="25">
        <v>977</v>
      </c>
      <c r="E91" s="25">
        <v>840</v>
      </c>
      <c r="F91" s="25">
        <v>3.99</v>
      </c>
      <c r="G91" s="25">
        <v>21866</v>
      </c>
      <c r="H91" s="25">
        <v>88.8</v>
      </c>
      <c r="I91" s="25"/>
      <c r="J91" s="25"/>
      <c r="K91" s="25"/>
      <c r="L91" s="25"/>
      <c r="M91" s="25"/>
      <c r="N91" s="25"/>
      <c r="O91" s="25"/>
    </row>
    <row r="92" spans="1:15" x14ac:dyDescent="0.25">
      <c r="A92" s="25" t="s">
        <v>11</v>
      </c>
      <c r="B92" s="25">
        <v>890</v>
      </c>
      <c r="C92" s="25">
        <v>66.099999999999994</v>
      </c>
      <c r="D92" s="25">
        <v>7</v>
      </c>
      <c r="E92" s="25">
        <v>38.799999999999997</v>
      </c>
      <c r="F92" s="25">
        <v>49601</v>
      </c>
      <c r="G92" s="25">
        <v>201</v>
      </c>
      <c r="H92" s="25">
        <v>100</v>
      </c>
      <c r="I92" s="25">
        <v>98.6</v>
      </c>
      <c r="J92" s="25">
        <v>98.1</v>
      </c>
      <c r="K92" s="25">
        <v>99.4</v>
      </c>
      <c r="L92" s="25">
        <v>132</v>
      </c>
      <c r="M92" s="25"/>
      <c r="N92" s="25"/>
      <c r="O92" s="25"/>
    </row>
    <row r="93" spans="1:15" x14ac:dyDescent="0.25">
      <c r="A93" s="25" t="s">
        <v>12</v>
      </c>
      <c r="B93" s="25">
        <v>3</v>
      </c>
      <c r="C93" s="25">
        <v>470</v>
      </c>
      <c r="D93" s="25">
        <v>1</v>
      </c>
      <c r="E93" s="25">
        <v>98.7</v>
      </c>
      <c r="F93" s="25">
        <v>1.36</v>
      </c>
      <c r="G93" s="25">
        <v>0</v>
      </c>
      <c r="H93" s="25"/>
      <c r="I93" s="25"/>
      <c r="J93" s="25"/>
      <c r="K93" s="25"/>
      <c r="L93" s="25"/>
      <c r="M93" s="25"/>
      <c r="N93" s="25"/>
      <c r="O93" s="25"/>
    </row>
    <row r="94" spans="1:15" x14ac:dyDescent="0.25">
      <c r="A94" s="25" t="s">
        <v>13</v>
      </c>
      <c r="B94" s="25">
        <v>3385</v>
      </c>
      <c r="C94" s="25">
        <v>5161</v>
      </c>
      <c r="D94" s="25">
        <v>95.95</v>
      </c>
      <c r="E94" s="25">
        <v>86.51</v>
      </c>
      <c r="F94" s="25">
        <v>95.14</v>
      </c>
      <c r="G94" s="25">
        <v>0</v>
      </c>
      <c r="H94" s="25">
        <v>117160</v>
      </c>
      <c r="I94" s="25">
        <v>0</v>
      </c>
      <c r="J94" s="25">
        <v>353</v>
      </c>
      <c r="K94" s="25"/>
      <c r="L94" s="25"/>
      <c r="M94" s="25"/>
      <c r="N94" s="25"/>
      <c r="O94" s="25"/>
    </row>
    <row r="95" spans="1:15" x14ac:dyDescent="0.25">
      <c r="A95" s="25" t="s">
        <v>464</v>
      </c>
      <c r="B95" s="25">
        <v>2700</v>
      </c>
      <c r="C95" s="25">
        <v>1317</v>
      </c>
      <c r="D95" s="25">
        <v>4017</v>
      </c>
      <c r="E95" s="25">
        <v>16.899999999999999</v>
      </c>
      <c r="F95" s="25"/>
      <c r="G95" s="25"/>
      <c r="H95" s="25"/>
      <c r="I95" s="25"/>
      <c r="J95" s="25"/>
      <c r="K95" s="25"/>
      <c r="L95" s="25"/>
      <c r="M95" s="25"/>
      <c r="N95" s="25"/>
      <c r="O95" s="25"/>
    </row>
    <row r="96" spans="1:15" x14ac:dyDescent="0.25">
      <c r="A96" s="25" t="s">
        <v>14</v>
      </c>
      <c r="B96" s="25">
        <v>9333</v>
      </c>
      <c r="C96" s="25">
        <v>2204</v>
      </c>
      <c r="D96" s="25">
        <v>6</v>
      </c>
      <c r="E96" s="25">
        <v>6647</v>
      </c>
      <c r="F96" s="25"/>
      <c r="G96" s="25"/>
      <c r="H96" s="25"/>
      <c r="I96" s="25"/>
      <c r="J96" s="25"/>
      <c r="K96" s="25"/>
      <c r="L96" s="25"/>
      <c r="M96" s="25"/>
      <c r="N96" s="25"/>
      <c r="O96" s="25"/>
    </row>
    <row r="97" spans="1:15" x14ac:dyDescent="0.25">
      <c r="A97" s="25" t="s">
        <v>232</v>
      </c>
      <c r="B97" s="25">
        <v>53104</v>
      </c>
      <c r="C97" s="25">
        <v>7709</v>
      </c>
      <c r="D97" s="25">
        <v>2758</v>
      </c>
      <c r="E97" s="25">
        <v>11.1</v>
      </c>
      <c r="F97" s="25">
        <v>12</v>
      </c>
      <c r="G97" s="25">
        <v>4</v>
      </c>
      <c r="H97" s="25">
        <v>273</v>
      </c>
      <c r="I97" s="25">
        <v>262</v>
      </c>
      <c r="J97" s="25">
        <v>20.5</v>
      </c>
      <c r="K97" s="25"/>
      <c r="L97" s="25"/>
      <c r="M97" s="25"/>
      <c r="N97" s="25"/>
      <c r="O97" s="25"/>
    </row>
    <row r="98" spans="1:15" x14ac:dyDescent="0.25">
      <c r="A98" s="40">
        <v>911</v>
      </c>
      <c r="B98" s="25">
        <v>116332</v>
      </c>
      <c r="C98" s="25">
        <v>2.6</v>
      </c>
      <c r="D98" s="25">
        <v>0.98</v>
      </c>
      <c r="E98" s="25">
        <v>3.21</v>
      </c>
      <c r="F98" s="25">
        <v>4.3899999999999997</v>
      </c>
      <c r="G98" s="25"/>
      <c r="H98" s="25"/>
      <c r="I98" s="25"/>
      <c r="J98" s="25"/>
      <c r="K98" s="25"/>
      <c r="L98" s="25"/>
      <c r="M98" s="25"/>
      <c r="N98" s="25"/>
      <c r="O98" s="25"/>
    </row>
    <row r="99" spans="1:15" x14ac:dyDescent="0.25">
      <c r="A99" s="25"/>
      <c r="B99" s="25"/>
      <c r="C99" s="25"/>
      <c r="D99" s="25"/>
      <c r="E99" s="25"/>
      <c r="F99" s="25"/>
      <c r="G99" s="25"/>
      <c r="H99" s="25"/>
      <c r="I99" s="25"/>
      <c r="J99" s="25"/>
      <c r="K99" s="25"/>
      <c r="L99" s="25"/>
      <c r="M99" s="25"/>
      <c r="N99" s="25"/>
      <c r="O99" s="25"/>
    </row>
    <row r="100" spans="1:15" x14ac:dyDescent="0.25">
      <c r="A100" s="25"/>
      <c r="B100" s="25"/>
      <c r="C100" s="25"/>
      <c r="D100" s="25"/>
      <c r="E100" s="25"/>
      <c r="F100" s="25"/>
      <c r="G100" s="25"/>
      <c r="H100" s="25"/>
      <c r="I100" s="25"/>
      <c r="J100" s="25"/>
      <c r="K100" s="25"/>
      <c r="L100" s="25"/>
      <c r="M100" s="25"/>
      <c r="N100" s="25"/>
      <c r="O100" s="25"/>
    </row>
    <row r="101" spans="1:15" x14ac:dyDescent="0.25">
      <c r="A101" s="25" t="s">
        <v>495</v>
      </c>
      <c r="B101" s="25"/>
      <c r="C101" s="25"/>
      <c r="D101" s="25"/>
      <c r="E101" s="25"/>
      <c r="F101" s="25"/>
      <c r="G101" s="25"/>
      <c r="H101" s="25"/>
      <c r="I101" s="25" t="s">
        <v>494</v>
      </c>
      <c r="J101" s="25"/>
      <c r="K101" s="25"/>
      <c r="L101" s="25"/>
      <c r="M101" s="25"/>
      <c r="N101" s="25"/>
      <c r="O101" s="25"/>
    </row>
    <row r="102" spans="1:15" x14ac:dyDescent="0.25">
      <c r="A102" s="43" t="s">
        <v>456</v>
      </c>
      <c r="B102" s="43">
        <v>1</v>
      </c>
      <c r="C102" s="43">
        <v>2</v>
      </c>
      <c r="D102" s="43">
        <v>3</v>
      </c>
      <c r="E102" s="43">
        <v>4</v>
      </c>
      <c r="F102" s="43">
        <v>5</v>
      </c>
      <c r="G102" s="43">
        <v>6</v>
      </c>
      <c r="H102" s="43">
        <v>7</v>
      </c>
      <c r="I102" s="43">
        <v>8</v>
      </c>
      <c r="J102" s="43">
        <v>9</v>
      </c>
      <c r="K102" s="43">
        <v>10</v>
      </c>
      <c r="L102" s="43">
        <v>11</v>
      </c>
      <c r="M102" s="43">
        <v>12</v>
      </c>
      <c r="N102" s="43">
        <v>13</v>
      </c>
      <c r="O102" s="25"/>
    </row>
    <row r="103" spans="1:15" x14ac:dyDescent="0.25">
      <c r="A103" s="25" t="s">
        <v>454</v>
      </c>
      <c r="B103" s="25">
        <v>64105</v>
      </c>
      <c r="C103" s="25">
        <v>59</v>
      </c>
      <c r="D103" s="25">
        <v>203</v>
      </c>
      <c r="E103" s="25">
        <v>48691</v>
      </c>
      <c r="F103" s="25">
        <v>55</v>
      </c>
      <c r="G103" s="25"/>
      <c r="H103" s="25"/>
      <c r="I103" s="25"/>
      <c r="J103" s="25"/>
      <c r="K103" s="25"/>
      <c r="L103" s="25"/>
      <c r="M103" s="25"/>
      <c r="N103" s="25"/>
      <c r="O103" s="25"/>
    </row>
    <row r="104" spans="1:15" x14ac:dyDescent="0.25">
      <c r="A104" s="25" t="s">
        <v>4</v>
      </c>
      <c r="B104" s="25">
        <v>13200</v>
      </c>
      <c r="C104" s="25">
        <v>24813</v>
      </c>
      <c r="D104" s="25">
        <v>55283</v>
      </c>
      <c r="E104" s="25">
        <v>23</v>
      </c>
      <c r="F104" s="25">
        <v>39409</v>
      </c>
      <c r="G104" s="25">
        <v>6</v>
      </c>
      <c r="H104" s="25">
        <v>1833</v>
      </c>
      <c r="I104" s="25">
        <v>19871</v>
      </c>
      <c r="J104" s="25"/>
      <c r="K104" s="25"/>
      <c r="L104" s="25"/>
      <c r="M104" s="25"/>
      <c r="N104" s="25"/>
      <c r="O104" s="25"/>
    </row>
    <row r="105" spans="1:15" x14ac:dyDescent="0.25">
      <c r="A105" s="25" t="s">
        <v>235</v>
      </c>
      <c r="B105" s="25">
        <v>3690</v>
      </c>
      <c r="C105" s="25">
        <v>14.9</v>
      </c>
      <c r="D105" s="25">
        <v>1755</v>
      </c>
      <c r="E105" s="25">
        <v>309</v>
      </c>
      <c r="F105" s="25">
        <v>22</v>
      </c>
      <c r="G105" s="25">
        <v>185</v>
      </c>
      <c r="H105" s="25"/>
      <c r="I105" s="25"/>
      <c r="J105" s="25"/>
      <c r="K105" s="25"/>
      <c r="L105" s="25"/>
      <c r="M105" s="25"/>
      <c r="N105" s="25"/>
      <c r="O105" s="25"/>
    </row>
    <row r="106" spans="1:15" x14ac:dyDescent="0.25">
      <c r="A106" s="25" t="s">
        <v>457</v>
      </c>
      <c r="B106" s="25">
        <v>39765</v>
      </c>
      <c r="C106" s="25">
        <v>37706</v>
      </c>
      <c r="D106" s="25">
        <v>1285</v>
      </c>
      <c r="E106" s="25">
        <v>1086</v>
      </c>
      <c r="F106" s="25">
        <v>4.5</v>
      </c>
      <c r="G106" s="25">
        <v>17.8</v>
      </c>
      <c r="H106" s="25">
        <v>3.7</v>
      </c>
      <c r="I106" s="25">
        <v>234</v>
      </c>
      <c r="J106" s="25"/>
      <c r="K106" s="25"/>
      <c r="L106" s="25"/>
      <c r="M106" s="25"/>
      <c r="N106" s="25"/>
      <c r="O106" s="25"/>
    </row>
    <row r="107" spans="1:15" x14ac:dyDescent="0.25">
      <c r="A107" s="25" t="s">
        <v>428</v>
      </c>
      <c r="B107" s="25">
        <v>11609</v>
      </c>
      <c r="C107" s="25">
        <v>3.15</v>
      </c>
      <c r="D107" s="25">
        <v>2504</v>
      </c>
      <c r="E107" s="25">
        <v>0.68</v>
      </c>
      <c r="F107" s="25">
        <v>32.1</v>
      </c>
      <c r="G107" s="25"/>
      <c r="H107" s="25"/>
      <c r="I107" s="25"/>
      <c r="J107" s="25"/>
      <c r="K107" s="25"/>
      <c r="L107" s="25"/>
      <c r="M107" s="25"/>
      <c r="N107" s="25"/>
      <c r="O107" s="25"/>
    </row>
    <row r="108" spans="1:15" x14ac:dyDescent="0.25">
      <c r="A108" s="25" t="s">
        <v>458</v>
      </c>
      <c r="B108" s="25"/>
      <c r="C108" s="25"/>
      <c r="D108" s="25"/>
      <c r="E108" s="25"/>
      <c r="F108" s="25"/>
      <c r="G108" s="25"/>
      <c r="H108" s="25"/>
      <c r="I108" s="25"/>
      <c r="J108" s="25"/>
      <c r="K108" s="25"/>
      <c r="L108" s="25"/>
      <c r="M108" s="25"/>
      <c r="N108" s="25"/>
      <c r="O108" s="25"/>
    </row>
    <row r="109" spans="1:15" x14ac:dyDescent="0.25">
      <c r="A109" s="25" t="s">
        <v>459</v>
      </c>
      <c r="B109" s="25">
        <v>462</v>
      </c>
      <c r="C109" s="25">
        <v>92</v>
      </c>
      <c r="D109" s="25">
        <v>81</v>
      </c>
      <c r="E109" s="25">
        <v>28</v>
      </c>
      <c r="F109" s="25">
        <v>15</v>
      </c>
      <c r="G109" s="25">
        <v>9</v>
      </c>
      <c r="H109" s="25">
        <v>260</v>
      </c>
      <c r="I109" s="25"/>
      <c r="J109" s="25"/>
      <c r="K109" s="25"/>
      <c r="L109" s="25"/>
      <c r="M109" s="25"/>
      <c r="N109" s="25"/>
      <c r="O109" s="25"/>
    </row>
    <row r="110" spans="1:15" x14ac:dyDescent="0.25">
      <c r="A110" s="25" t="s">
        <v>25</v>
      </c>
      <c r="B110" s="25">
        <v>8619</v>
      </c>
      <c r="C110" s="25">
        <v>62.6</v>
      </c>
      <c r="D110" s="25">
        <v>1.73</v>
      </c>
      <c r="E110" s="25">
        <v>8.1999999999999993</v>
      </c>
      <c r="F110" s="25">
        <v>2923</v>
      </c>
      <c r="G110" s="25">
        <v>23</v>
      </c>
      <c r="H110" s="25">
        <v>0</v>
      </c>
      <c r="I110" s="25">
        <v>27</v>
      </c>
      <c r="J110" s="25">
        <v>25</v>
      </c>
      <c r="K110" s="25">
        <v>23</v>
      </c>
      <c r="L110" s="25">
        <v>23</v>
      </c>
      <c r="M110" s="25">
        <v>21</v>
      </c>
      <c r="N110" s="25">
        <v>12</v>
      </c>
      <c r="O110" s="25"/>
    </row>
    <row r="111" spans="1:15" x14ac:dyDescent="0.25">
      <c r="A111" s="25" t="s">
        <v>460</v>
      </c>
      <c r="B111" s="25">
        <v>161</v>
      </c>
      <c r="C111" s="25">
        <v>721</v>
      </c>
      <c r="D111" s="25">
        <v>278</v>
      </c>
      <c r="E111" s="25">
        <v>274</v>
      </c>
      <c r="F111" s="25">
        <v>70.3</v>
      </c>
      <c r="G111" s="25">
        <v>96.1</v>
      </c>
      <c r="H111" s="25">
        <v>1205</v>
      </c>
      <c r="I111" s="25">
        <v>96.9</v>
      </c>
      <c r="J111" s="25">
        <v>212</v>
      </c>
      <c r="K111" s="25">
        <v>202</v>
      </c>
      <c r="L111" s="25"/>
      <c r="M111" s="25"/>
      <c r="N111" s="25"/>
      <c r="O111" s="25"/>
    </row>
    <row r="112" spans="1:15" x14ac:dyDescent="0.25">
      <c r="A112" s="25" t="s">
        <v>227</v>
      </c>
      <c r="B112" s="25">
        <v>1920</v>
      </c>
      <c r="C112" s="25">
        <v>7.79</v>
      </c>
      <c r="D112" s="25">
        <v>3209</v>
      </c>
      <c r="E112" s="25">
        <v>261</v>
      </c>
      <c r="F112" s="25"/>
      <c r="G112" s="25"/>
      <c r="H112" s="25"/>
      <c r="I112" s="25"/>
      <c r="J112" s="25"/>
      <c r="K112" s="25"/>
      <c r="L112" s="25"/>
      <c r="M112" s="25"/>
      <c r="N112" s="25"/>
      <c r="O112" s="25"/>
    </row>
    <row r="113" spans="1:15" x14ac:dyDescent="0.25">
      <c r="A113" s="25" t="s">
        <v>461</v>
      </c>
      <c r="B113" s="25">
        <v>2121</v>
      </c>
      <c r="C113" s="25">
        <v>4881</v>
      </c>
      <c r="D113" s="25">
        <v>19.8</v>
      </c>
      <c r="E113" s="25">
        <v>9</v>
      </c>
      <c r="F113" s="25">
        <v>396</v>
      </c>
      <c r="G113" s="25">
        <v>4</v>
      </c>
      <c r="H113" s="25">
        <v>262</v>
      </c>
      <c r="I113" s="25">
        <v>899</v>
      </c>
      <c r="J113" s="25">
        <v>7319</v>
      </c>
      <c r="K113" s="25">
        <v>30.3</v>
      </c>
      <c r="L113" s="25">
        <v>108</v>
      </c>
      <c r="M113" s="25">
        <v>193</v>
      </c>
      <c r="N113" s="25">
        <v>6022</v>
      </c>
      <c r="O113" s="25"/>
    </row>
    <row r="114" spans="1:15" x14ac:dyDescent="0.25">
      <c r="A114" s="25" t="s">
        <v>434</v>
      </c>
      <c r="B114" s="25">
        <v>47</v>
      </c>
      <c r="C114" s="25">
        <v>11.3</v>
      </c>
      <c r="D114" s="25">
        <v>31</v>
      </c>
      <c r="E114" s="25">
        <v>7.3</v>
      </c>
      <c r="F114" s="25">
        <v>2491</v>
      </c>
      <c r="G114" s="25">
        <v>22151</v>
      </c>
      <c r="H114" s="25"/>
      <c r="I114" s="25"/>
      <c r="J114" s="25"/>
      <c r="K114" s="25"/>
      <c r="L114" s="25"/>
      <c r="M114" s="25"/>
      <c r="N114" s="25"/>
      <c r="O114" s="25"/>
    </row>
    <row r="115" spans="1:15" x14ac:dyDescent="0.25">
      <c r="A115" s="25" t="s">
        <v>228</v>
      </c>
      <c r="B115" s="25">
        <v>2277</v>
      </c>
      <c r="C115" s="25">
        <v>311</v>
      </c>
      <c r="D115" s="25">
        <v>1864</v>
      </c>
      <c r="E115" s="25">
        <v>1392</v>
      </c>
      <c r="F115" s="25">
        <v>1851</v>
      </c>
      <c r="G115" s="25">
        <v>73</v>
      </c>
      <c r="H115" s="25">
        <v>1.41</v>
      </c>
      <c r="I115" s="25">
        <v>31.2</v>
      </c>
      <c r="J115" s="25">
        <v>27.8</v>
      </c>
      <c r="K115" s="25">
        <v>2803</v>
      </c>
      <c r="L115" s="25">
        <v>91.2</v>
      </c>
      <c r="M115" s="25"/>
      <c r="N115" s="25"/>
      <c r="O115" s="25"/>
    </row>
    <row r="116" spans="1:15" x14ac:dyDescent="0.25">
      <c r="A116" s="25" t="s">
        <v>230</v>
      </c>
      <c r="B116" s="25">
        <v>99.99</v>
      </c>
      <c r="C116" s="25">
        <v>99.99</v>
      </c>
      <c r="D116" s="25">
        <v>99.99</v>
      </c>
      <c r="E116" s="25">
        <v>49.6</v>
      </c>
      <c r="F116" s="25">
        <v>62.8</v>
      </c>
      <c r="G116" s="25">
        <v>86</v>
      </c>
      <c r="H116" s="25"/>
      <c r="I116" s="25"/>
      <c r="J116" s="25"/>
      <c r="K116" s="25"/>
      <c r="L116" s="25"/>
      <c r="M116" s="25"/>
      <c r="N116" s="25"/>
      <c r="O116" s="25"/>
    </row>
    <row r="117" spans="1:15" x14ac:dyDescent="0.25">
      <c r="A117" s="25" t="s">
        <v>7</v>
      </c>
      <c r="B117" s="25">
        <v>76.099999999999994</v>
      </c>
      <c r="C117" s="25">
        <v>13.9</v>
      </c>
      <c r="D117" s="25">
        <v>2032</v>
      </c>
      <c r="E117" s="25">
        <v>5.6</v>
      </c>
      <c r="F117" s="25">
        <v>2036</v>
      </c>
      <c r="G117" s="25">
        <v>67.3</v>
      </c>
      <c r="H117" s="25"/>
      <c r="I117" s="25"/>
      <c r="J117" s="25"/>
      <c r="K117" s="25"/>
      <c r="L117" s="25"/>
      <c r="M117" s="25"/>
      <c r="N117" s="25"/>
      <c r="O117" s="25"/>
    </row>
    <row r="118" spans="1:15" x14ac:dyDescent="0.25">
      <c r="A118" s="25" t="s">
        <v>8</v>
      </c>
      <c r="B118" s="25">
        <v>186490</v>
      </c>
      <c r="C118" s="25">
        <v>98472</v>
      </c>
      <c r="D118" s="25">
        <v>6174</v>
      </c>
      <c r="E118" s="25">
        <v>25701</v>
      </c>
      <c r="F118" s="25">
        <v>150493</v>
      </c>
      <c r="G118" s="25">
        <v>38797</v>
      </c>
      <c r="H118" s="25">
        <v>2.64</v>
      </c>
      <c r="I118" s="25">
        <v>3.27</v>
      </c>
      <c r="J118" s="25">
        <v>6.31</v>
      </c>
      <c r="K118" s="25">
        <v>2794</v>
      </c>
      <c r="L118" s="25">
        <v>1250</v>
      </c>
      <c r="M118" s="25">
        <v>37</v>
      </c>
      <c r="N118" s="25">
        <v>0</v>
      </c>
      <c r="O118" s="25"/>
    </row>
    <row r="119" spans="1:15" x14ac:dyDescent="0.25">
      <c r="A119" s="25" t="s">
        <v>462</v>
      </c>
      <c r="B119" s="25">
        <v>22</v>
      </c>
      <c r="C119" s="25">
        <v>22</v>
      </c>
      <c r="D119" s="25">
        <v>22</v>
      </c>
      <c r="E119" s="25">
        <v>21</v>
      </c>
      <c r="F119" s="25">
        <v>1</v>
      </c>
      <c r="G119" s="25">
        <v>5</v>
      </c>
      <c r="H119" s="25">
        <v>0</v>
      </c>
      <c r="I119" s="25">
        <v>469</v>
      </c>
      <c r="J119" s="25">
        <v>12</v>
      </c>
      <c r="K119" s="25">
        <v>12</v>
      </c>
      <c r="L119" s="25"/>
      <c r="M119" s="25"/>
      <c r="N119" s="25"/>
      <c r="O119" s="25"/>
    </row>
    <row r="120" spans="1:15" x14ac:dyDescent="0.25">
      <c r="A120" s="25" t="s">
        <v>463</v>
      </c>
      <c r="B120" s="25">
        <v>364</v>
      </c>
      <c r="C120" s="25">
        <v>3</v>
      </c>
      <c r="D120" s="25">
        <v>487</v>
      </c>
      <c r="E120" s="25">
        <v>34</v>
      </c>
      <c r="F120" s="25">
        <v>4207</v>
      </c>
      <c r="G120" s="25">
        <v>821</v>
      </c>
      <c r="H120" s="25">
        <v>3933</v>
      </c>
      <c r="I120" s="25">
        <v>97.9</v>
      </c>
      <c r="J120" s="25">
        <v>617</v>
      </c>
      <c r="K120" s="25">
        <v>98.3</v>
      </c>
      <c r="L120" s="25">
        <v>109</v>
      </c>
      <c r="M120" s="25"/>
      <c r="N120" s="25"/>
      <c r="O120" s="25"/>
    </row>
    <row r="121" spans="1:15" x14ac:dyDescent="0.25">
      <c r="A121" s="25" t="s">
        <v>9</v>
      </c>
      <c r="B121" s="25">
        <v>1632</v>
      </c>
      <c r="C121" s="25">
        <v>1529</v>
      </c>
      <c r="D121" s="25">
        <v>4934</v>
      </c>
      <c r="E121" s="25">
        <v>702</v>
      </c>
      <c r="F121" s="25">
        <v>6.6</v>
      </c>
      <c r="G121" s="25">
        <v>219690</v>
      </c>
      <c r="H121" s="25">
        <v>222193</v>
      </c>
      <c r="I121" s="25"/>
      <c r="J121" s="25"/>
      <c r="K121" s="25"/>
      <c r="L121" s="25"/>
      <c r="M121" s="25"/>
      <c r="N121" s="25"/>
      <c r="O121" s="25"/>
    </row>
    <row r="122" spans="1:15" x14ac:dyDescent="0.25">
      <c r="A122" s="25" t="s">
        <v>61</v>
      </c>
      <c r="B122" s="25">
        <v>80</v>
      </c>
      <c r="C122" s="25">
        <v>177</v>
      </c>
      <c r="D122" s="25">
        <v>51</v>
      </c>
      <c r="E122" s="25">
        <v>1052</v>
      </c>
      <c r="F122" s="25"/>
      <c r="G122" s="25"/>
      <c r="H122" s="25"/>
      <c r="I122" s="25"/>
      <c r="J122" s="25"/>
      <c r="K122" s="25"/>
      <c r="L122" s="25"/>
      <c r="M122" s="25"/>
      <c r="N122" s="25"/>
      <c r="O122" s="25"/>
    </row>
    <row r="123" spans="1:15" x14ac:dyDescent="0.25">
      <c r="A123" s="25" t="s">
        <v>233</v>
      </c>
      <c r="B123" s="25">
        <v>285806</v>
      </c>
      <c r="C123" s="25">
        <v>47491</v>
      </c>
      <c r="D123" s="25">
        <v>16268</v>
      </c>
      <c r="E123" s="25">
        <v>2.92</v>
      </c>
      <c r="F123" s="25">
        <v>0.16</v>
      </c>
      <c r="G123" s="25">
        <v>11.32</v>
      </c>
      <c r="H123" s="25">
        <v>1.94</v>
      </c>
      <c r="I123" s="25"/>
      <c r="J123" s="25"/>
      <c r="K123" s="25"/>
      <c r="L123" s="25"/>
      <c r="M123" s="25"/>
      <c r="N123" s="25"/>
      <c r="O123" s="25"/>
    </row>
    <row r="124" spans="1:15" x14ac:dyDescent="0.25">
      <c r="A124" s="25" t="s">
        <v>10</v>
      </c>
      <c r="B124" s="25">
        <v>12548</v>
      </c>
      <c r="C124" s="25">
        <v>52</v>
      </c>
      <c r="D124" s="25">
        <v>595</v>
      </c>
      <c r="E124" s="25">
        <v>39</v>
      </c>
      <c r="F124" s="25">
        <v>24.1</v>
      </c>
      <c r="G124" s="25">
        <v>4628</v>
      </c>
      <c r="H124" s="25">
        <v>1532</v>
      </c>
      <c r="I124" s="25">
        <v>1055</v>
      </c>
      <c r="J124" s="25">
        <v>20.5</v>
      </c>
      <c r="K124" s="25">
        <v>34.4</v>
      </c>
      <c r="L124" s="25"/>
      <c r="M124" s="25"/>
      <c r="N124" s="25"/>
      <c r="O124" s="25"/>
    </row>
    <row r="125" spans="1:15" x14ac:dyDescent="0.25">
      <c r="A125" s="25" t="s">
        <v>229</v>
      </c>
      <c r="B125" s="25">
        <v>3470</v>
      </c>
      <c r="C125" s="25">
        <v>1117</v>
      </c>
      <c r="D125" s="25">
        <v>1006</v>
      </c>
      <c r="E125" s="25">
        <v>510</v>
      </c>
      <c r="F125" s="25">
        <v>4.45</v>
      </c>
      <c r="G125" s="25">
        <v>22926</v>
      </c>
      <c r="H125" s="25">
        <v>93.5</v>
      </c>
      <c r="I125" s="25"/>
      <c r="J125" s="25"/>
      <c r="K125" s="25"/>
      <c r="L125" s="25"/>
      <c r="M125" s="25"/>
      <c r="N125" s="25"/>
      <c r="O125" s="25"/>
    </row>
    <row r="126" spans="1:15" x14ac:dyDescent="0.25">
      <c r="A126" s="25" t="s">
        <v>11</v>
      </c>
      <c r="B126" s="25">
        <v>936</v>
      </c>
      <c r="C126" s="25">
        <v>66.040000000000006</v>
      </c>
      <c r="D126" s="25">
        <v>2.1</v>
      </c>
      <c r="E126" s="25">
        <v>23.2</v>
      </c>
      <c r="F126" s="25">
        <v>47271</v>
      </c>
      <c r="G126" s="25">
        <v>193</v>
      </c>
      <c r="H126" s="25">
        <v>97.5</v>
      </c>
      <c r="I126" s="25">
        <v>89.5</v>
      </c>
      <c r="J126" s="25">
        <v>84.8</v>
      </c>
      <c r="K126" s="25">
        <v>97.7</v>
      </c>
      <c r="L126" s="25">
        <v>156</v>
      </c>
      <c r="M126" s="25"/>
      <c r="N126" s="25"/>
      <c r="O126" s="25"/>
    </row>
    <row r="127" spans="1:15" x14ac:dyDescent="0.25">
      <c r="A127" s="25" t="s">
        <v>12</v>
      </c>
      <c r="B127" s="25">
        <v>1</v>
      </c>
      <c r="C127" s="25">
        <v>560</v>
      </c>
      <c r="D127" s="25">
        <v>0</v>
      </c>
      <c r="E127" s="25">
        <v>95.5</v>
      </c>
      <c r="F127" s="25">
        <v>14.1</v>
      </c>
      <c r="G127" s="25">
        <v>0</v>
      </c>
      <c r="H127" s="25"/>
      <c r="I127" s="25"/>
      <c r="J127" s="25"/>
      <c r="K127" s="25"/>
      <c r="L127" s="25"/>
      <c r="M127" s="25"/>
      <c r="N127" s="25"/>
      <c r="O127" s="25"/>
    </row>
    <row r="128" spans="1:15" x14ac:dyDescent="0.25">
      <c r="A128" s="25" t="s">
        <v>13</v>
      </c>
      <c r="B128" s="25">
        <v>3966</v>
      </c>
      <c r="C128" s="25">
        <v>5186</v>
      </c>
      <c r="D128" s="25">
        <v>95.99</v>
      </c>
      <c r="E128" s="25">
        <v>91.18</v>
      </c>
      <c r="F128" s="25">
        <v>95.71</v>
      </c>
      <c r="G128" s="25">
        <v>0</v>
      </c>
      <c r="H128" s="25">
        <v>212087</v>
      </c>
      <c r="I128" s="25">
        <v>0</v>
      </c>
      <c r="J128" s="25">
        <v>245</v>
      </c>
      <c r="K128" s="25"/>
      <c r="L128" s="25"/>
      <c r="M128" s="25"/>
      <c r="N128" s="25"/>
      <c r="O128" s="25"/>
    </row>
    <row r="129" spans="1:15" x14ac:dyDescent="0.25">
      <c r="A129" s="25" t="s">
        <v>464</v>
      </c>
      <c r="B129" s="25">
        <v>2716</v>
      </c>
      <c r="C129" s="25">
        <v>1274</v>
      </c>
      <c r="D129" s="25">
        <v>3990</v>
      </c>
      <c r="E129" s="25">
        <v>16.100000000000001</v>
      </c>
      <c r="F129" s="25">
        <v>81</v>
      </c>
      <c r="G129" s="25">
        <v>1112321</v>
      </c>
      <c r="H129" s="25">
        <v>111298</v>
      </c>
      <c r="I129" s="25">
        <v>0</v>
      </c>
      <c r="J129" s="25"/>
      <c r="K129" s="25"/>
      <c r="L129" s="25"/>
      <c r="M129" s="25"/>
      <c r="N129" s="25"/>
      <c r="O129" s="25"/>
    </row>
    <row r="130" spans="1:15" x14ac:dyDescent="0.25">
      <c r="A130" s="25" t="s">
        <v>14</v>
      </c>
      <c r="B130" s="25">
        <v>9084</v>
      </c>
      <c r="C130" s="25">
        <v>2113</v>
      </c>
      <c r="D130" s="25">
        <v>6.1</v>
      </c>
      <c r="E130" s="25">
        <v>6512</v>
      </c>
      <c r="F130" s="25"/>
      <c r="G130" s="25"/>
      <c r="H130" s="25"/>
      <c r="I130" s="25"/>
      <c r="J130" s="25"/>
      <c r="K130" s="25"/>
      <c r="L130" s="25"/>
      <c r="M130" s="25"/>
      <c r="N130" s="25"/>
      <c r="O130" s="25"/>
    </row>
    <row r="131" spans="1:15" x14ac:dyDescent="0.25">
      <c r="A131" s="25" t="s">
        <v>232</v>
      </c>
      <c r="B131" s="25">
        <v>55957</v>
      </c>
      <c r="C131" s="25">
        <v>7732</v>
      </c>
      <c r="D131" s="25">
        <v>2585</v>
      </c>
      <c r="E131" s="25">
        <v>10.5</v>
      </c>
      <c r="F131" s="25">
        <v>10.1</v>
      </c>
      <c r="G131" s="25">
        <v>1.4</v>
      </c>
      <c r="H131" s="25">
        <v>403.8</v>
      </c>
      <c r="I131" s="25">
        <v>304.60000000000002</v>
      </c>
      <c r="J131" s="25">
        <v>24.8</v>
      </c>
      <c r="K131" s="25"/>
      <c r="L131" s="25"/>
      <c r="M131" s="25"/>
      <c r="N131" s="25"/>
      <c r="O131" s="25"/>
    </row>
    <row r="132" spans="1:15" x14ac:dyDescent="0.25">
      <c r="A132" s="40">
        <v>911</v>
      </c>
      <c r="B132" s="25">
        <v>115869</v>
      </c>
      <c r="C132" s="25">
        <v>3.33</v>
      </c>
      <c r="D132" s="25">
        <v>1</v>
      </c>
      <c r="E132" s="25">
        <v>2.67</v>
      </c>
      <c r="F132" s="25">
        <v>4.41</v>
      </c>
      <c r="G132" s="25">
        <v>94.12</v>
      </c>
      <c r="H132" s="25"/>
      <c r="I132" s="25"/>
      <c r="J132" s="25"/>
      <c r="K132" s="25"/>
      <c r="L132" s="25"/>
      <c r="M132" s="25"/>
      <c r="N132" s="25"/>
      <c r="O132" s="25"/>
    </row>
    <row r="133" spans="1:15" x14ac:dyDescent="0.25">
      <c r="A133" s="25" t="s">
        <v>496</v>
      </c>
      <c r="B133" s="25">
        <v>21</v>
      </c>
      <c r="C133" s="25">
        <v>44</v>
      </c>
      <c r="D133" s="25">
        <v>26</v>
      </c>
      <c r="E133" s="25">
        <v>29</v>
      </c>
      <c r="F133" s="25">
        <v>38</v>
      </c>
      <c r="G133" s="25">
        <v>6</v>
      </c>
      <c r="H133" s="25">
        <v>122</v>
      </c>
      <c r="I133" s="25"/>
      <c r="J133" s="25"/>
      <c r="K133" s="25"/>
      <c r="L133" s="25"/>
      <c r="M133" s="25"/>
      <c r="N133" s="25"/>
      <c r="O133" s="25"/>
    </row>
    <row r="134" spans="1:15" x14ac:dyDescent="0.25">
      <c r="A134" s="25"/>
      <c r="B134" s="25"/>
      <c r="C134" s="25"/>
      <c r="D134" s="25"/>
      <c r="E134" s="25"/>
      <c r="F134" s="25"/>
      <c r="G134" s="25"/>
      <c r="H134" s="25"/>
      <c r="I134" s="25"/>
      <c r="J134" s="25"/>
      <c r="K134" s="25"/>
      <c r="L134" s="25"/>
      <c r="M134" s="25"/>
      <c r="N134" s="25"/>
      <c r="O134" s="25"/>
    </row>
    <row r="135" spans="1:15" x14ac:dyDescent="0.25">
      <c r="A135" s="25"/>
      <c r="B135" s="25">
        <f>AVERAGE(B114,B80,B47,B14)</f>
        <v>41.75</v>
      </c>
      <c r="C135" s="25">
        <f t="shared" ref="C135:G135" si="1">AVERAGE(C114,C80,C47,C14)</f>
        <v>9.7624999999999993</v>
      </c>
      <c r="D135" s="25">
        <f t="shared" si="1"/>
        <v>28.5</v>
      </c>
      <c r="E135" s="25">
        <f t="shared" si="1"/>
        <v>6.4450000000000003</v>
      </c>
      <c r="F135" s="25">
        <f t="shared" si="1"/>
        <v>3156.5</v>
      </c>
      <c r="G135" s="25">
        <f t="shared" si="1"/>
        <v>24761.5</v>
      </c>
      <c r="H135" s="25"/>
      <c r="I135" s="25"/>
      <c r="J135" s="25"/>
      <c r="K135" s="25"/>
      <c r="L135" s="25"/>
      <c r="M135" s="25"/>
      <c r="N135" s="25"/>
      <c r="O135" s="25"/>
    </row>
    <row r="136" spans="1:15" x14ac:dyDescent="0.25">
      <c r="A136" s="25"/>
      <c r="B136" s="25"/>
      <c r="C136" s="25"/>
      <c r="D136" s="25"/>
      <c r="E136" s="25"/>
      <c r="F136" s="25"/>
      <c r="G136" s="25"/>
      <c r="H136" s="25"/>
      <c r="I136" s="25"/>
      <c r="J136" s="25"/>
      <c r="K136" s="25"/>
      <c r="L136" s="25"/>
      <c r="M136" s="25"/>
      <c r="N136" s="25"/>
      <c r="O136" s="25"/>
    </row>
    <row r="137" spans="1:15" x14ac:dyDescent="0.25">
      <c r="A137" s="25"/>
      <c r="B137" s="25"/>
      <c r="C137" s="25"/>
      <c r="D137" s="25"/>
      <c r="E137" s="25"/>
      <c r="F137" s="25"/>
      <c r="G137" s="25"/>
      <c r="H137" s="25"/>
      <c r="I137" s="25"/>
      <c r="J137" s="25"/>
      <c r="K137" s="25"/>
      <c r="L137" s="25"/>
      <c r="M137" s="25"/>
      <c r="N137" s="25"/>
      <c r="O137" s="25"/>
    </row>
    <row r="138" spans="1:15" x14ac:dyDescent="0.25">
      <c r="A138" s="25"/>
      <c r="B138" s="25"/>
      <c r="C138" s="25"/>
      <c r="D138" s="25"/>
      <c r="E138" s="25"/>
      <c r="F138" s="25"/>
      <c r="G138" s="25"/>
      <c r="H138" s="25"/>
      <c r="I138" s="25"/>
      <c r="J138" s="25"/>
      <c r="K138" s="25"/>
      <c r="L138" s="25"/>
      <c r="M138" s="25"/>
      <c r="N138" s="25"/>
      <c r="O138" s="25"/>
    </row>
    <row r="139" spans="1:15" x14ac:dyDescent="0.25">
      <c r="A139" s="25"/>
      <c r="B139" s="25"/>
      <c r="C139" s="25"/>
      <c r="D139" s="25"/>
      <c r="E139" s="25"/>
      <c r="F139" s="25"/>
      <c r="G139" s="25"/>
      <c r="H139" s="25"/>
      <c r="I139" s="25"/>
      <c r="J139" s="25"/>
      <c r="K139" s="25"/>
      <c r="L139" s="25"/>
      <c r="M139" s="25"/>
      <c r="N139" s="25"/>
      <c r="O139" s="25"/>
    </row>
    <row r="140" spans="1:15" x14ac:dyDescent="0.25">
      <c r="A140" s="25"/>
      <c r="B140" s="25"/>
      <c r="C140" s="25"/>
      <c r="D140" s="25"/>
      <c r="E140" s="25"/>
      <c r="F140" s="25"/>
      <c r="G140" s="25"/>
      <c r="H140" s="25"/>
      <c r="I140" s="25"/>
      <c r="J140" s="25"/>
      <c r="K140" s="25"/>
      <c r="L140" s="25"/>
      <c r="M140" s="25"/>
      <c r="N140" s="25"/>
      <c r="O140" s="25"/>
    </row>
    <row r="141" spans="1:15" x14ac:dyDescent="0.25">
      <c r="A141" s="25"/>
      <c r="B141" s="25"/>
      <c r="C141" s="25"/>
      <c r="D141" s="25"/>
      <c r="E141" s="25"/>
      <c r="F141" s="25"/>
      <c r="G141" s="25"/>
      <c r="H141" s="25"/>
      <c r="I141" s="25"/>
      <c r="J141" s="25"/>
      <c r="K141" s="25"/>
      <c r="L141" s="25"/>
      <c r="M141" s="25"/>
      <c r="N141" s="25"/>
      <c r="O141" s="25"/>
    </row>
    <row r="142" spans="1:15" x14ac:dyDescent="0.25">
      <c r="A142" s="25"/>
      <c r="B142" s="25"/>
      <c r="C142" s="25"/>
      <c r="D142" s="25"/>
      <c r="E142" s="25"/>
      <c r="F142" s="25"/>
      <c r="G142" s="25"/>
      <c r="H142" s="25"/>
      <c r="I142" s="25"/>
      <c r="J142" s="25"/>
      <c r="K142" s="25"/>
      <c r="L142" s="25"/>
      <c r="M142" s="25"/>
      <c r="N142" s="25"/>
      <c r="O142" s="25"/>
    </row>
    <row r="143" spans="1:15" x14ac:dyDescent="0.25">
      <c r="A143" s="25"/>
      <c r="B143" s="25"/>
      <c r="C143" s="25"/>
      <c r="D143" s="25"/>
      <c r="E143" s="25"/>
      <c r="F143" s="25"/>
      <c r="G143" s="25"/>
      <c r="H143" s="25"/>
      <c r="I143" s="25"/>
      <c r="J143" s="25"/>
      <c r="K143" s="25"/>
      <c r="L143" s="25"/>
      <c r="M143" s="25"/>
      <c r="N143" s="25"/>
      <c r="O143" s="25"/>
    </row>
    <row r="144" spans="1:15" x14ac:dyDescent="0.25">
      <c r="A144" s="25"/>
      <c r="B144" s="25"/>
      <c r="C144" s="25"/>
      <c r="D144" s="25"/>
      <c r="E144" s="25"/>
      <c r="F144" s="25"/>
      <c r="G144" s="25"/>
      <c r="H144" s="25"/>
      <c r="I144" s="25"/>
      <c r="J144" s="25"/>
      <c r="K144" s="25"/>
      <c r="L144" s="25"/>
      <c r="M144" s="25"/>
      <c r="N144" s="25"/>
      <c r="O144" s="25"/>
    </row>
    <row r="145" spans="1:15" x14ac:dyDescent="0.25">
      <c r="A145" s="25"/>
      <c r="B145" s="25"/>
      <c r="C145" s="25"/>
      <c r="D145" s="25"/>
      <c r="E145" s="25"/>
      <c r="F145" s="25"/>
      <c r="G145" s="25"/>
      <c r="H145" s="25"/>
      <c r="I145" s="25"/>
      <c r="J145" s="25"/>
      <c r="K145" s="25"/>
      <c r="L145" s="25"/>
      <c r="M145" s="25"/>
      <c r="N145" s="25"/>
      <c r="O145" s="25"/>
    </row>
    <row r="146" spans="1:15" x14ac:dyDescent="0.25">
      <c r="A146" s="25"/>
      <c r="B146" s="25"/>
      <c r="C146" s="25"/>
      <c r="D146" s="25"/>
      <c r="E146" s="25"/>
      <c r="F146" s="25"/>
      <c r="G146" s="25"/>
      <c r="H146" s="25"/>
      <c r="I146" s="25"/>
      <c r="J146" s="25"/>
      <c r="K146" s="25"/>
      <c r="L146" s="25"/>
      <c r="M146" s="25"/>
      <c r="N146" s="25"/>
      <c r="O146" s="25"/>
    </row>
    <row r="147" spans="1:15" x14ac:dyDescent="0.25">
      <c r="A147" s="25"/>
      <c r="B147" s="25"/>
      <c r="C147" s="25"/>
      <c r="D147" s="25"/>
      <c r="E147" s="25"/>
      <c r="F147" s="25"/>
      <c r="G147" s="25"/>
      <c r="H147" s="25"/>
      <c r="I147" s="25"/>
      <c r="J147" s="25"/>
      <c r="K147" s="25"/>
      <c r="L147" s="25"/>
      <c r="M147" s="25"/>
      <c r="N147" s="25"/>
      <c r="O147" s="25"/>
    </row>
    <row r="148" spans="1:15" x14ac:dyDescent="0.25">
      <c r="A148" s="25"/>
      <c r="B148" s="25"/>
      <c r="C148" s="25"/>
      <c r="D148" s="25"/>
      <c r="E148" s="25"/>
      <c r="F148" s="25"/>
      <c r="G148" s="25"/>
      <c r="H148" s="25"/>
      <c r="I148" s="25"/>
      <c r="J148" s="25"/>
      <c r="K148" s="25"/>
      <c r="L148" s="25"/>
      <c r="M148" s="25"/>
      <c r="N148" s="25"/>
      <c r="O148" s="25"/>
    </row>
    <row r="149" spans="1:15" x14ac:dyDescent="0.25">
      <c r="A149" s="25"/>
      <c r="B149" s="25"/>
      <c r="C149" s="25"/>
      <c r="D149" s="25"/>
      <c r="E149" s="25"/>
      <c r="F149" s="25"/>
      <c r="G149" s="25"/>
      <c r="H149" s="25"/>
      <c r="I149" s="25"/>
      <c r="J149" s="25"/>
      <c r="K149" s="25"/>
      <c r="L149" s="25"/>
      <c r="M149" s="25"/>
      <c r="N149" s="25"/>
      <c r="O149" s="25"/>
    </row>
    <row r="150" spans="1:15" x14ac:dyDescent="0.25">
      <c r="A150" s="25"/>
      <c r="B150" s="25"/>
      <c r="C150" s="25"/>
      <c r="D150" s="25"/>
      <c r="E150" s="25"/>
      <c r="F150" s="25"/>
      <c r="G150" s="25"/>
      <c r="H150" s="25"/>
      <c r="I150" s="25"/>
      <c r="J150" s="25"/>
      <c r="K150" s="25"/>
      <c r="L150" s="25"/>
      <c r="M150" s="25"/>
      <c r="N150" s="25"/>
      <c r="O150" s="25"/>
    </row>
    <row r="151" spans="1:15" x14ac:dyDescent="0.25">
      <c r="A151" s="25"/>
      <c r="B151" s="25"/>
      <c r="C151" s="25"/>
      <c r="D151" s="25"/>
      <c r="E151" s="25"/>
      <c r="F151" s="25"/>
      <c r="G151" s="25"/>
      <c r="H151" s="25"/>
      <c r="I151" s="25"/>
      <c r="J151" s="25"/>
      <c r="K151" s="25"/>
      <c r="L151" s="25"/>
      <c r="M151" s="25"/>
      <c r="N151" s="25"/>
      <c r="O151" s="25"/>
    </row>
    <row r="152" spans="1:15" x14ac:dyDescent="0.25">
      <c r="A152" s="25"/>
      <c r="B152" s="25"/>
      <c r="C152" s="25"/>
      <c r="D152" s="25"/>
      <c r="E152" s="25"/>
      <c r="F152" s="25"/>
      <c r="G152" s="25"/>
      <c r="H152" s="25"/>
      <c r="I152" s="25"/>
      <c r="J152" s="25"/>
      <c r="K152" s="25"/>
      <c r="L152" s="25"/>
      <c r="M152" s="25"/>
      <c r="N152" s="25"/>
      <c r="O152" s="25"/>
    </row>
    <row r="153" spans="1:15" x14ac:dyDescent="0.25">
      <c r="A153" s="25"/>
      <c r="B153" s="25"/>
      <c r="C153" s="25"/>
      <c r="D153" s="25"/>
      <c r="E153" s="25"/>
      <c r="F153" s="25"/>
      <c r="G153" s="25"/>
      <c r="H153" s="25"/>
      <c r="I153" s="25"/>
      <c r="J153" s="25"/>
      <c r="K153" s="25"/>
      <c r="L153" s="25"/>
      <c r="M153" s="25"/>
      <c r="N153" s="25"/>
      <c r="O153" s="25"/>
    </row>
    <row r="154" spans="1:15" x14ac:dyDescent="0.25">
      <c r="A154" s="25"/>
      <c r="B154" s="25"/>
      <c r="C154" s="25"/>
      <c r="D154" s="25"/>
      <c r="E154" s="25"/>
      <c r="F154" s="25"/>
      <c r="G154" s="25"/>
      <c r="H154" s="25"/>
      <c r="I154" s="25"/>
      <c r="J154" s="25"/>
      <c r="K154" s="25"/>
      <c r="L154" s="25"/>
      <c r="M154" s="25"/>
      <c r="N154" s="25"/>
      <c r="O154" s="25"/>
    </row>
    <row r="155" spans="1:15" x14ac:dyDescent="0.25">
      <c r="A155" s="25"/>
      <c r="B155" s="25"/>
      <c r="C155" s="25"/>
      <c r="D155" s="25"/>
      <c r="E155" s="25"/>
      <c r="F155" s="25"/>
      <c r="G155" s="25"/>
      <c r="H155" s="25"/>
      <c r="I155" s="25"/>
      <c r="J155" s="25"/>
      <c r="K155" s="25"/>
      <c r="L155" s="25"/>
      <c r="M155" s="25"/>
      <c r="N155" s="25"/>
      <c r="O155" s="25"/>
    </row>
    <row r="156" spans="1:15" x14ac:dyDescent="0.25">
      <c r="A156" s="25"/>
      <c r="B156" s="25"/>
      <c r="C156" s="25"/>
      <c r="D156" s="25"/>
      <c r="E156" s="25"/>
      <c r="F156" s="25"/>
      <c r="G156" s="25"/>
      <c r="H156" s="25"/>
      <c r="I156" s="25"/>
      <c r="J156" s="25"/>
      <c r="K156" s="25"/>
      <c r="L156" s="25"/>
      <c r="M156" s="25"/>
      <c r="N156" s="25"/>
      <c r="O156" s="25"/>
    </row>
    <row r="157" spans="1:15" x14ac:dyDescent="0.25">
      <c r="A157" s="25"/>
      <c r="B157" s="25"/>
      <c r="C157" s="25"/>
      <c r="D157" s="25"/>
      <c r="E157" s="25"/>
      <c r="F157" s="25"/>
      <c r="G157" s="25"/>
      <c r="H157" s="25"/>
      <c r="I157" s="25"/>
      <c r="J157" s="25"/>
      <c r="K157" s="25"/>
      <c r="L157" s="25"/>
      <c r="M157" s="25"/>
      <c r="N157" s="25"/>
      <c r="O157" s="25"/>
    </row>
    <row r="158" spans="1:15" x14ac:dyDescent="0.25">
      <c r="A158" s="25"/>
      <c r="B158" s="25"/>
      <c r="C158" s="25"/>
      <c r="D158" s="25"/>
      <c r="E158" s="25"/>
      <c r="F158" s="25"/>
      <c r="G158" s="25"/>
      <c r="H158" s="25"/>
      <c r="I158" s="25"/>
      <c r="J158" s="25"/>
      <c r="K158" s="25"/>
      <c r="L158" s="25"/>
      <c r="M158" s="25"/>
      <c r="N158" s="25"/>
      <c r="O158" s="25"/>
    </row>
    <row r="159" spans="1:15" x14ac:dyDescent="0.25">
      <c r="A159" s="25"/>
      <c r="B159" s="25"/>
      <c r="C159" s="25"/>
      <c r="D159" s="25"/>
      <c r="E159" s="25"/>
      <c r="F159" s="25"/>
      <c r="G159" s="25"/>
      <c r="H159" s="25"/>
      <c r="I159" s="25"/>
      <c r="J159" s="25"/>
      <c r="K159" s="25"/>
      <c r="L159" s="25"/>
      <c r="M159" s="25"/>
      <c r="N159" s="25"/>
      <c r="O159" s="25"/>
    </row>
    <row r="160" spans="1:15" x14ac:dyDescent="0.25">
      <c r="A160" s="25"/>
      <c r="B160" s="25"/>
      <c r="C160" s="25"/>
      <c r="D160" s="25"/>
      <c r="E160" s="25"/>
      <c r="F160" s="25"/>
      <c r="G160" s="25"/>
      <c r="H160" s="25"/>
      <c r="I160" s="25"/>
      <c r="J160" s="25"/>
      <c r="K160" s="25"/>
      <c r="L160" s="25"/>
      <c r="M160" s="25"/>
      <c r="N160" s="25"/>
      <c r="O160" s="25"/>
    </row>
    <row r="161" spans="1:15" x14ac:dyDescent="0.25">
      <c r="A161" s="25"/>
      <c r="B161" s="25"/>
      <c r="C161" s="25"/>
      <c r="D161" s="25"/>
      <c r="E161" s="25"/>
      <c r="F161" s="25"/>
      <c r="G161" s="25"/>
      <c r="H161" s="25"/>
      <c r="I161" s="25"/>
      <c r="J161" s="25"/>
      <c r="K161" s="25"/>
      <c r="L161" s="25"/>
      <c r="M161" s="25"/>
      <c r="N161" s="25"/>
      <c r="O161" s="25"/>
    </row>
    <row r="162" spans="1:15" x14ac:dyDescent="0.25">
      <c r="A162" s="25"/>
      <c r="B162" s="25"/>
      <c r="C162" s="25"/>
      <c r="D162" s="25"/>
      <c r="E162" s="25"/>
      <c r="F162" s="25"/>
      <c r="G162" s="25"/>
      <c r="H162" s="25"/>
      <c r="I162" s="25"/>
      <c r="J162" s="25"/>
      <c r="K162" s="25"/>
      <c r="L162" s="25"/>
      <c r="M162" s="25"/>
      <c r="N162" s="25"/>
      <c r="O162" s="25"/>
    </row>
    <row r="163" spans="1:15" x14ac:dyDescent="0.25">
      <c r="A163" s="25"/>
      <c r="B163" s="25"/>
      <c r="C163" s="25"/>
      <c r="D163" s="25"/>
      <c r="E163" s="25"/>
      <c r="F163" s="25"/>
      <c r="G163" s="25"/>
      <c r="H163" s="25"/>
      <c r="I163" s="25"/>
      <c r="J163" s="25"/>
      <c r="K163" s="25"/>
      <c r="L163" s="25"/>
      <c r="M163" s="25"/>
      <c r="N163" s="25"/>
      <c r="O163" s="25"/>
    </row>
    <row r="164" spans="1:15" x14ac:dyDescent="0.25">
      <c r="A164" s="25"/>
      <c r="B164" s="25"/>
      <c r="C164" s="25"/>
      <c r="D164" s="25"/>
      <c r="E164" s="25"/>
      <c r="F164" s="25"/>
      <c r="G164" s="25"/>
      <c r="H164" s="25"/>
      <c r="I164" s="25"/>
      <c r="J164" s="25"/>
      <c r="K164" s="25"/>
      <c r="L164" s="25"/>
      <c r="M164" s="25"/>
      <c r="N164" s="25"/>
      <c r="O164" s="25"/>
    </row>
    <row r="165" spans="1:15" x14ac:dyDescent="0.25">
      <c r="A165" s="25"/>
      <c r="B165" s="25"/>
      <c r="C165" s="25"/>
      <c r="D165" s="25"/>
      <c r="E165" s="25"/>
      <c r="F165" s="25"/>
      <c r="G165" s="25"/>
      <c r="H165" s="25"/>
      <c r="I165" s="25"/>
      <c r="J165" s="25"/>
      <c r="K165" s="25"/>
      <c r="L165" s="25"/>
      <c r="M165" s="25"/>
      <c r="N165" s="25"/>
      <c r="O165" s="25"/>
    </row>
    <row r="166" spans="1:15" x14ac:dyDescent="0.25">
      <c r="A166" s="25"/>
      <c r="B166" s="25"/>
      <c r="C166" s="25"/>
      <c r="D166" s="25"/>
      <c r="E166" s="25"/>
      <c r="F166" s="25"/>
      <c r="G166" s="25"/>
      <c r="H166" s="25"/>
      <c r="I166" s="25"/>
      <c r="J166" s="25"/>
      <c r="K166" s="25"/>
      <c r="L166" s="25"/>
      <c r="M166" s="25"/>
      <c r="N166" s="25"/>
      <c r="O166" s="25"/>
    </row>
    <row r="167" spans="1:15" x14ac:dyDescent="0.25">
      <c r="A167" s="25"/>
      <c r="B167" s="25"/>
      <c r="C167" s="25"/>
      <c r="D167" s="25"/>
      <c r="E167" s="25"/>
      <c r="F167" s="25"/>
      <c r="G167" s="25"/>
      <c r="H167" s="25"/>
      <c r="I167" s="25"/>
      <c r="J167" s="25"/>
      <c r="K167" s="25"/>
      <c r="L167" s="25"/>
      <c r="M167" s="25"/>
      <c r="N167" s="25"/>
      <c r="O167" s="25"/>
    </row>
    <row r="168" spans="1:15" x14ac:dyDescent="0.25">
      <c r="A168" s="25"/>
      <c r="B168" s="25"/>
      <c r="C168" s="25"/>
      <c r="D168" s="25"/>
      <c r="E168" s="25"/>
      <c r="F168" s="25"/>
      <c r="G168" s="25"/>
      <c r="H168" s="25"/>
      <c r="I168" s="25"/>
      <c r="J168" s="25"/>
      <c r="K168" s="25"/>
      <c r="L168" s="25"/>
      <c r="M168" s="25"/>
      <c r="N168" s="25"/>
      <c r="O168" s="25"/>
    </row>
    <row r="169" spans="1:15" x14ac:dyDescent="0.25">
      <c r="A169" s="25"/>
      <c r="B169" s="25"/>
      <c r="C169" s="25"/>
      <c r="D169" s="25"/>
      <c r="E169" s="25"/>
      <c r="F169" s="25"/>
      <c r="G169" s="25"/>
      <c r="H169" s="25"/>
      <c r="I169" s="25"/>
      <c r="J169" s="25"/>
      <c r="K169" s="25"/>
      <c r="L169" s="25"/>
      <c r="M169" s="25"/>
      <c r="N169" s="25"/>
      <c r="O169" s="25"/>
    </row>
    <row r="170" spans="1:15" x14ac:dyDescent="0.25">
      <c r="A170" s="25"/>
      <c r="B170" s="25"/>
      <c r="C170" s="25"/>
      <c r="D170" s="25"/>
      <c r="E170" s="25"/>
      <c r="F170" s="25"/>
      <c r="G170" s="25"/>
      <c r="H170" s="25"/>
      <c r="I170" s="25"/>
      <c r="J170" s="25"/>
      <c r="K170" s="25"/>
      <c r="L170" s="25"/>
      <c r="M170" s="25"/>
      <c r="N170" s="25"/>
      <c r="O170" s="25"/>
    </row>
    <row r="171" spans="1:15" x14ac:dyDescent="0.25">
      <c r="A171" s="25"/>
      <c r="B171" s="25"/>
      <c r="C171" s="25"/>
      <c r="D171" s="25"/>
      <c r="E171" s="25"/>
      <c r="F171" s="25"/>
      <c r="G171" s="25"/>
      <c r="H171" s="25"/>
      <c r="I171" s="25"/>
      <c r="J171" s="25"/>
      <c r="K171" s="25"/>
      <c r="L171" s="25"/>
      <c r="M171" s="25"/>
      <c r="N171" s="25"/>
      <c r="O171" s="25"/>
    </row>
    <row r="172" spans="1:15" x14ac:dyDescent="0.25">
      <c r="A172" s="25"/>
      <c r="B172" s="25"/>
      <c r="C172" s="25"/>
      <c r="D172" s="25"/>
      <c r="E172" s="25"/>
      <c r="F172" s="25"/>
      <c r="G172" s="25"/>
      <c r="H172" s="25"/>
      <c r="I172" s="25"/>
      <c r="J172" s="25"/>
      <c r="K172" s="25"/>
      <c r="L172" s="25"/>
      <c r="M172" s="25"/>
      <c r="N172" s="25"/>
      <c r="O172" s="25"/>
    </row>
    <row r="173" spans="1:15" x14ac:dyDescent="0.25">
      <c r="A173" s="25"/>
      <c r="B173" s="25"/>
      <c r="C173" s="25"/>
      <c r="D173" s="25"/>
      <c r="E173" s="25"/>
      <c r="F173" s="25"/>
      <c r="G173" s="25"/>
      <c r="H173" s="25"/>
      <c r="I173" s="25"/>
      <c r="J173" s="25"/>
      <c r="K173" s="25"/>
      <c r="L173" s="25"/>
      <c r="M173" s="25"/>
      <c r="N173" s="25"/>
      <c r="O173" s="25"/>
    </row>
    <row r="174" spans="1:15" x14ac:dyDescent="0.25">
      <c r="A174" s="25"/>
      <c r="B174" s="25"/>
      <c r="C174" s="25"/>
      <c r="D174" s="25"/>
      <c r="E174" s="25"/>
      <c r="F174" s="25"/>
      <c r="G174" s="25"/>
      <c r="H174" s="25"/>
      <c r="I174" s="25"/>
      <c r="J174" s="25"/>
      <c r="K174" s="25"/>
      <c r="L174" s="25"/>
      <c r="M174" s="25"/>
      <c r="N174" s="25"/>
      <c r="O174" s="25"/>
    </row>
    <row r="175" spans="1:15" x14ac:dyDescent="0.25">
      <c r="A175" s="25"/>
      <c r="B175" s="25"/>
      <c r="C175" s="25"/>
      <c r="D175" s="25"/>
      <c r="E175" s="25"/>
      <c r="F175" s="25"/>
      <c r="G175" s="25"/>
      <c r="H175" s="25"/>
      <c r="I175" s="25"/>
      <c r="J175" s="25"/>
      <c r="K175" s="25"/>
      <c r="L175" s="25"/>
      <c r="M175" s="25"/>
      <c r="N175" s="25"/>
      <c r="O175" s="25"/>
    </row>
    <row r="176" spans="1:15" x14ac:dyDescent="0.25">
      <c r="A176" s="25"/>
      <c r="B176" s="25"/>
      <c r="C176" s="25"/>
      <c r="D176" s="25"/>
      <c r="E176" s="25"/>
      <c r="F176" s="25"/>
      <c r="G176" s="25"/>
      <c r="H176" s="25"/>
      <c r="I176" s="25"/>
      <c r="J176" s="25"/>
      <c r="K176" s="25"/>
      <c r="L176" s="25"/>
      <c r="M176" s="25"/>
      <c r="N176" s="25"/>
      <c r="O176" s="25"/>
    </row>
    <row r="177" spans="1:15" x14ac:dyDescent="0.25">
      <c r="A177" s="25"/>
      <c r="B177" s="25"/>
      <c r="C177" s="25"/>
      <c r="D177" s="25"/>
      <c r="E177" s="25"/>
      <c r="F177" s="25"/>
      <c r="G177" s="25"/>
      <c r="H177" s="25"/>
      <c r="I177" s="25"/>
      <c r="J177" s="25"/>
      <c r="K177" s="25"/>
      <c r="L177" s="25"/>
      <c r="M177" s="25"/>
      <c r="N177" s="25"/>
      <c r="O177" s="25"/>
    </row>
    <row r="178" spans="1:15" x14ac:dyDescent="0.25">
      <c r="A178" s="25"/>
      <c r="B178" s="25"/>
      <c r="C178" s="25"/>
      <c r="D178" s="25"/>
      <c r="E178" s="25"/>
      <c r="F178" s="25"/>
      <c r="G178" s="25"/>
      <c r="H178" s="25"/>
      <c r="I178" s="25"/>
      <c r="J178" s="25"/>
      <c r="K178" s="25"/>
      <c r="L178" s="25"/>
      <c r="M178" s="25"/>
      <c r="N178" s="25"/>
      <c r="O178" s="25"/>
    </row>
    <row r="179" spans="1:15" x14ac:dyDescent="0.25">
      <c r="A179" s="25"/>
      <c r="B179" s="25"/>
      <c r="C179" s="25"/>
      <c r="D179" s="25"/>
      <c r="E179" s="25"/>
      <c r="F179" s="25"/>
      <c r="G179" s="25"/>
      <c r="H179" s="25"/>
      <c r="I179" s="25"/>
      <c r="J179" s="25"/>
      <c r="K179" s="25"/>
      <c r="L179" s="25"/>
      <c r="M179" s="25"/>
      <c r="N179" s="25"/>
      <c r="O179" s="25"/>
    </row>
    <row r="180" spans="1:15" x14ac:dyDescent="0.25">
      <c r="A180" s="25"/>
      <c r="B180" s="25"/>
      <c r="C180" s="25"/>
      <c r="D180" s="25"/>
      <c r="E180" s="25"/>
      <c r="F180" s="25"/>
      <c r="G180" s="25"/>
      <c r="H180" s="25"/>
      <c r="I180" s="25"/>
      <c r="J180" s="25"/>
      <c r="K180" s="25"/>
      <c r="L180" s="25"/>
      <c r="M180" s="25"/>
      <c r="N180" s="25"/>
      <c r="O180" s="25"/>
    </row>
    <row r="181" spans="1:15" x14ac:dyDescent="0.25">
      <c r="A181" s="25"/>
      <c r="B181" s="25"/>
      <c r="C181" s="25"/>
      <c r="D181" s="25"/>
      <c r="E181" s="25"/>
      <c r="F181" s="25"/>
      <c r="G181" s="25"/>
      <c r="H181" s="25"/>
      <c r="I181" s="25"/>
      <c r="J181" s="25"/>
      <c r="K181" s="25"/>
      <c r="L181" s="25"/>
      <c r="M181" s="25"/>
      <c r="N181" s="25"/>
      <c r="O181" s="25"/>
    </row>
    <row r="182" spans="1:15" x14ac:dyDescent="0.25">
      <c r="A182" s="25"/>
      <c r="B182" s="25"/>
      <c r="C182" s="25"/>
      <c r="D182" s="25"/>
      <c r="E182" s="25"/>
      <c r="F182" s="25"/>
      <c r="G182" s="25"/>
      <c r="H182" s="25"/>
      <c r="I182" s="25"/>
      <c r="J182" s="25"/>
      <c r="K182" s="25"/>
      <c r="L182" s="25"/>
      <c r="M182" s="25"/>
      <c r="N182" s="25"/>
      <c r="O182" s="25"/>
    </row>
    <row r="183" spans="1:15" x14ac:dyDescent="0.25">
      <c r="A183" s="25"/>
      <c r="B183" s="25"/>
      <c r="C183" s="25"/>
      <c r="D183" s="25"/>
      <c r="E183" s="25"/>
      <c r="F183" s="25"/>
      <c r="G183" s="25"/>
      <c r="H183" s="25"/>
      <c r="I183" s="25"/>
      <c r="J183" s="25"/>
      <c r="K183" s="25"/>
      <c r="L183" s="25"/>
      <c r="M183" s="25"/>
      <c r="N183" s="25"/>
      <c r="O183" s="25"/>
    </row>
    <row r="184" spans="1:15" x14ac:dyDescent="0.25">
      <c r="A184" s="25"/>
      <c r="B184" s="25"/>
      <c r="C184" s="25"/>
      <c r="D184" s="25"/>
      <c r="E184" s="25"/>
      <c r="F184" s="25"/>
      <c r="G184" s="25"/>
      <c r="H184" s="25"/>
      <c r="I184" s="25"/>
      <c r="J184" s="25"/>
      <c r="K184" s="25"/>
      <c r="L184" s="25"/>
      <c r="M184" s="25"/>
      <c r="N184" s="25"/>
      <c r="O184" s="25"/>
    </row>
    <row r="185" spans="1:15" x14ac:dyDescent="0.25">
      <c r="A185" s="25"/>
      <c r="B185" s="25"/>
      <c r="C185" s="25"/>
      <c r="D185" s="25"/>
      <c r="E185" s="25"/>
      <c r="F185" s="25"/>
      <c r="G185" s="25"/>
      <c r="H185" s="25"/>
      <c r="I185" s="25"/>
      <c r="J185" s="25"/>
      <c r="K185" s="25"/>
      <c r="L185" s="25"/>
      <c r="M185" s="25"/>
      <c r="N185" s="25"/>
      <c r="O185" s="25"/>
    </row>
    <row r="186" spans="1:15" x14ac:dyDescent="0.25">
      <c r="A186" s="25"/>
      <c r="B186" s="25"/>
      <c r="C186" s="25"/>
      <c r="D186" s="25"/>
      <c r="E186" s="25"/>
      <c r="F186" s="25"/>
      <c r="G186" s="25"/>
      <c r="H186" s="25"/>
      <c r="I186" s="25"/>
      <c r="J186" s="25"/>
      <c r="K186" s="25"/>
      <c r="L186" s="25"/>
      <c r="M186" s="25"/>
      <c r="N186" s="25"/>
      <c r="O186" s="25"/>
    </row>
    <row r="187" spans="1:15" x14ac:dyDescent="0.25">
      <c r="A187" s="25"/>
      <c r="B187" s="25"/>
      <c r="C187" s="25"/>
      <c r="D187" s="25"/>
      <c r="E187" s="25"/>
      <c r="F187" s="25"/>
      <c r="G187" s="25"/>
      <c r="H187" s="25"/>
      <c r="I187" s="25"/>
      <c r="J187" s="25"/>
      <c r="K187" s="25"/>
      <c r="L187" s="25"/>
      <c r="M187" s="25"/>
      <c r="N187" s="25"/>
      <c r="O187" s="25"/>
    </row>
    <row r="188" spans="1:15" x14ac:dyDescent="0.25">
      <c r="A188" s="25"/>
      <c r="B188" s="25"/>
      <c r="C188" s="25"/>
      <c r="D188" s="25"/>
      <c r="E188" s="25"/>
      <c r="F188" s="25"/>
      <c r="G188" s="25"/>
      <c r="H188" s="25"/>
      <c r="I188" s="25"/>
      <c r="J188" s="25"/>
      <c r="K188" s="25"/>
      <c r="L188" s="25"/>
      <c r="M188" s="25"/>
      <c r="N188" s="25"/>
      <c r="O188" s="25"/>
    </row>
    <row r="189" spans="1:15" x14ac:dyDescent="0.25">
      <c r="A189" s="25"/>
      <c r="B189" s="25"/>
      <c r="C189" s="25"/>
      <c r="D189" s="25"/>
      <c r="E189" s="25"/>
      <c r="F189" s="25"/>
      <c r="G189" s="25"/>
      <c r="H189" s="25"/>
      <c r="I189" s="25"/>
      <c r="J189" s="25"/>
      <c r="K189" s="25"/>
      <c r="L189" s="25"/>
      <c r="M189" s="25"/>
      <c r="N189" s="25"/>
      <c r="O189" s="25"/>
    </row>
    <row r="190" spans="1:15" x14ac:dyDescent="0.25">
      <c r="A190" s="25"/>
      <c r="B190" s="25"/>
      <c r="C190" s="25"/>
      <c r="D190" s="25"/>
      <c r="E190" s="25"/>
      <c r="F190" s="25"/>
      <c r="G190" s="25"/>
      <c r="H190" s="25"/>
      <c r="I190" s="25"/>
      <c r="J190" s="25"/>
      <c r="K190" s="25"/>
      <c r="L190" s="25"/>
      <c r="M190" s="25"/>
      <c r="N190" s="25"/>
      <c r="O190" s="25"/>
    </row>
    <row r="191" spans="1:15" x14ac:dyDescent="0.25">
      <c r="A191" s="25"/>
      <c r="B191" s="25"/>
      <c r="C191" s="25"/>
      <c r="D191" s="25"/>
      <c r="E191" s="25"/>
      <c r="F191" s="25"/>
      <c r="G191" s="25"/>
      <c r="H191" s="25"/>
      <c r="I191" s="25"/>
      <c r="J191" s="25"/>
      <c r="K191" s="25"/>
      <c r="L191" s="25"/>
      <c r="M191" s="25"/>
      <c r="N191" s="25"/>
      <c r="O191" s="25"/>
    </row>
    <row r="192" spans="1:15" x14ac:dyDescent="0.25">
      <c r="A192" s="25"/>
      <c r="B192" s="25"/>
      <c r="C192" s="25"/>
      <c r="D192" s="25"/>
      <c r="E192" s="25"/>
      <c r="F192" s="25"/>
      <c r="G192" s="25"/>
      <c r="H192" s="25"/>
      <c r="I192" s="25"/>
      <c r="J192" s="25"/>
      <c r="K192" s="25"/>
      <c r="L192" s="25"/>
      <c r="M192" s="25"/>
      <c r="N192" s="25"/>
      <c r="O192" s="25"/>
    </row>
    <row r="193" spans="1:15" x14ac:dyDescent="0.25">
      <c r="A193" s="25"/>
      <c r="B193" s="25"/>
      <c r="C193" s="25"/>
      <c r="D193" s="25"/>
      <c r="E193" s="25"/>
      <c r="F193" s="25"/>
      <c r="G193" s="25"/>
      <c r="H193" s="25"/>
      <c r="I193" s="25"/>
      <c r="J193" s="25"/>
      <c r="K193" s="25"/>
      <c r="L193" s="25"/>
      <c r="M193" s="25"/>
      <c r="N193" s="25"/>
      <c r="O193" s="25"/>
    </row>
    <row r="194" spans="1:15" x14ac:dyDescent="0.25">
      <c r="A194" s="25"/>
      <c r="B194" s="25"/>
      <c r="C194" s="25"/>
      <c r="D194" s="25"/>
      <c r="E194" s="25"/>
      <c r="F194" s="25"/>
      <c r="G194" s="25"/>
      <c r="H194" s="25"/>
      <c r="I194" s="25"/>
      <c r="J194" s="25"/>
      <c r="K194" s="25"/>
      <c r="L194" s="25"/>
      <c r="M194" s="25"/>
      <c r="N194" s="25"/>
      <c r="O194" s="25"/>
    </row>
    <row r="195" spans="1:15" x14ac:dyDescent="0.25">
      <c r="A195" s="25"/>
      <c r="B195" s="25"/>
      <c r="C195" s="25"/>
      <c r="D195" s="25"/>
      <c r="E195" s="25"/>
      <c r="F195" s="25"/>
      <c r="G195" s="25"/>
      <c r="H195" s="25"/>
      <c r="I195" s="25"/>
      <c r="J195" s="25"/>
      <c r="K195" s="25"/>
      <c r="L195" s="25"/>
      <c r="M195" s="25"/>
      <c r="N195" s="25"/>
      <c r="O195" s="25"/>
    </row>
    <row r="196" spans="1:15" x14ac:dyDescent="0.25">
      <c r="A196" s="25"/>
      <c r="B196" s="25"/>
      <c r="C196" s="25"/>
      <c r="D196" s="25"/>
      <c r="E196" s="25"/>
      <c r="F196" s="25"/>
      <c r="G196" s="25"/>
      <c r="H196" s="25"/>
      <c r="I196" s="25"/>
      <c r="J196" s="25"/>
      <c r="K196" s="25"/>
      <c r="L196" s="25"/>
      <c r="M196" s="25"/>
      <c r="N196" s="25"/>
      <c r="O196" s="25"/>
    </row>
    <row r="197" spans="1:15" x14ac:dyDescent="0.25">
      <c r="A197" s="25"/>
      <c r="B197" s="25"/>
      <c r="C197" s="25"/>
      <c r="D197" s="25"/>
      <c r="E197" s="25"/>
      <c r="F197" s="25"/>
      <c r="G197" s="25"/>
      <c r="H197" s="25"/>
      <c r="I197" s="25"/>
      <c r="J197" s="25"/>
      <c r="K197" s="25"/>
      <c r="L197" s="25"/>
      <c r="M197" s="25"/>
      <c r="N197" s="25"/>
      <c r="O197" s="25"/>
    </row>
    <row r="198" spans="1:15" x14ac:dyDescent="0.25">
      <c r="A198" s="25"/>
      <c r="B198" s="25"/>
      <c r="C198" s="25"/>
      <c r="D198" s="25"/>
      <c r="E198" s="25"/>
      <c r="F198" s="25"/>
      <c r="G198" s="25"/>
      <c r="H198" s="25"/>
      <c r="I198" s="25"/>
      <c r="J198" s="25"/>
      <c r="K198" s="25"/>
      <c r="L198" s="25"/>
      <c r="M198" s="25"/>
      <c r="N198" s="25"/>
      <c r="O198" s="25"/>
    </row>
    <row r="199" spans="1:15" x14ac:dyDescent="0.25">
      <c r="A199" s="25"/>
      <c r="B199" s="25"/>
      <c r="C199" s="25"/>
      <c r="D199" s="25"/>
      <c r="E199" s="25"/>
      <c r="F199" s="25"/>
      <c r="G199" s="25"/>
      <c r="H199" s="25"/>
      <c r="I199" s="25"/>
      <c r="J199" s="25"/>
      <c r="K199" s="25"/>
      <c r="L199" s="25"/>
      <c r="M199" s="25"/>
      <c r="N199" s="25"/>
      <c r="O199" s="25"/>
    </row>
    <row r="200" spans="1:15" x14ac:dyDescent="0.25">
      <c r="A200" s="25"/>
      <c r="B200" s="25"/>
      <c r="C200" s="25"/>
      <c r="D200" s="25"/>
      <c r="E200" s="25"/>
      <c r="F200" s="25"/>
      <c r="G200" s="25"/>
      <c r="H200" s="25"/>
      <c r="I200" s="25"/>
      <c r="J200" s="25"/>
      <c r="K200" s="25"/>
      <c r="L200" s="25"/>
      <c r="M200" s="25"/>
      <c r="N200" s="25"/>
      <c r="O200" s="25"/>
    </row>
    <row r="201" spans="1:15" x14ac:dyDescent="0.25">
      <c r="A201" s="25"/>
      <c r="B201" s="25"/>
      <c r="C201" s="25"/>
      <c r="D201" s="25"/>
      <c r="E201" s="25"/>
      <c r="F201" s="25"/>
      <c r="G201" s="25"/>
      <c r="H201" s="25"/>
      <c r="I201" s="25"/>
      <c r="J201" s="25"/>
      <c r="K201" s="25"/>
      <c r="L201" s="25"/>
      <c r="M201" s="25"/>
      <c r="N201" s="25"/>
      <c r="O201" s="25"/>
    </row>
    <row r="202" spans="1:15" x14ac:dyDescent="0.25">
      <c r="A202" s="25"/>
      <c r="B202" s="25"/>
      <c r="C202" s="25"/>
      <c r="D202" s="25"/>
      <c r="E202" s="25"/>
      <c r="F202" s="25"/>
      <c r="G202" s="25"/>
      <c r="H202" s="25"/>
      <c r="I202" s="25"/>
      <c r="J202" s="25"/>
      <c r="K202" s="25"/>
      <c r="L202" s="25"/>
      <c r="M202" s="25"/>
      <c r="N202" s="25"/>
      <c r="O202" s="25"/>
    </row>
    <row r="203" spans="1:15" x14ac:dyDescent="0.25">
      <c r="A203" s="25"/>
      <c r="B203" s="25"/>
      <c r="C203" s="25"/>
      <c r="D203" s="25"/>
      <c r="E203" s="25"/>
      <c r="F203" s="25"/>
      <c r="G203" s="25"/>
      <c r="H203" s="25"/>
      <c r="I203" s="25"/>
      <c r="J203" s="25"/>
      <c r="K203" s="25"/>
      <c r="L203" s="25"/>
      <c r="M203" s="25"/>
      <c r="N203" s="25"/>
      <c r="O203" s="25"/>
    </row>
    <row r="204" spans="1:15" x14ac:dyDescent="0.25">
      <c r="A204" s="25"/>
      <c r="B204" s="25"/>
      <c r="C204" s="25"/>
      <c r="D204" s="25"/>
      <c r="E204" s="25"/>
      <c r="F204" s="25"/>
      <c r="G204" s="25"/>
      <c r="H204" s="25"/>
      <c r="I204" s="25"/>
      <c r="J204" s="25"/>
      <c r="K204" s="25"/>
      <c r="L204" s="25"/>
      <c r="M204" s="25"/>
      <c r="N204" s="25"/>
      <c r="O204" s="25"/>
    </row>
    <row r="205" spans="1:15" x14ac:dyDescent="0.25">
      <c r="A205" s="25"/>
      <c r="B205" s="25"/>
      <c r="C205" s="25"/>
      <c r="D205" s="25"/>
      <c r="E205" s="25"/>
      <c r="F205" s="25"/>
      <c r="G205" s="25"/>
      <c r="H205" s="25"/>
      <c r="I205" s="25"/>
      <c r="J205" s="25"/>
      <c r="K205" s="25"/>
      <c r="L205" s="25"/>
      <c r="M205" s="25"/>
      <c r="N205" s="25"/>
      <c r="O205" s="25"/>
    </row>
    <row r="206" spans="1:15" x14ac:dyDescent="0.25">
      <c r="A206" s="25"/>
      <c r="B206" s="25"/>
      <c r="C206" s="25"/>
      <c r="D206" s="25"/>
      <c r="E206" s="25"/>
      <c r="F206" s="25"/>
      <c r="G206" s="25"/>
      <c r="H206" s="25"/>
      <c r="I206" s="25"/>
      <c r="J206" s="25"/>
      <c r="K206" s="25"/>
      <c r="L206" s="25"/>
      <c r="M206" s="25"/>
      <c r="N206" s="25"/>
      <c r="O206" s="25"/>
    </row>
    <row r="207" spans="1:15" x14ac:dyDescent="0.25">
      <c r="A207" s="25"/>
      <c r="B207" s="25"/>
      <c r="C207" s="25"/>
      <c r="D207" s="25"/>
      <c r="E207" s="25"/>
      <c r="F207" s="25"/>
      <c r="G207" s="25"/>
      <c r="H207" s="25"/>
      <c r="I207" s="25"/>
      <c r="J207" s="25"/>
      <c r="K207" s="25"/>
      <c r="L207" s="25"/>
      <c r="M207" s="25"/>
      <c r="N207" s="25"/>
      <c r="O207" s="25"/>
    </row>
    <row r="208" spans="1:15" x14ac:dyDescent="0.25">
      <c r="A208" s="25"/>
      <c r="B208" s="25"/>
      <c r="C208" s="25"/>
      <c r="D208" s="25"/>
      <c r="E208" s="25"/>
      <c r="F208" s="25"/>
      <c r="G208" s="25"/>
      <c r="H208" s="25"/>
      <c r="I208" s="25"/>
      <c r="J208" s="25"/>
      <c r="K208" s="25"/>
      <c r="L208" s="25"/>
      <c r="M208" s="25"/>
      <c r="N208" s="25"/>
      <c r="O208" s="25"/>
    </row>
    <row r="209" spans="1:15" x14ac:dyDescent="0.25">
      <c r="A209" s="25"/>
      <c r="B209" s="25"/>
      <c r="C209" s="25"/>
      <c r="D209" s="25"/>
      <c r="E209" s="25"/>
      <c r="F209" s="25"/>
      <c r="G209" s="25"/>
      <c r="H209" s="25"/>
      <c r="I209" s="25"/>
      <c r="J209" s="25"/>
      <c r="K209" s="25"/>
      <c r="L209" s="25"/>
      <c r="M209" s="25"/>
      <c r="N209" s="25"/>
      <c r="O209" s="25"/>
    </row>
    <row r="210" spans="1:15" x14ac:dyDescent="0.25">
      <c r="A210" s="25"/>
      <c r="B210" s="25"/>
      <c r="C210" s="25"/>
      <c r="D210" s="25"/>
      <c r="E210" s="25"/>
      <c r="F210" s="25"/>
      <c r="G210" s="25"/>
      <c r="H210" s="25"/>
      <c r="I210" s="25"/>
      <c r="J210" s="25"/>
      <c r="K210" s="25"/>
      <c r="L210" s="25"/>
      <c r="M210" s="25"/>
      <c r="N210" s="25"/>
      <c r="O210" s="25"/>
    </row>
    <row r="211" spans="1:15" x14ac:dyDescent="0.25">
      <c r="A211" s="25"/>
      <c r="B211" s="25"/>
      <c r="C211" s="25"/>
      <c r="D211" s="25"/>
      <c r="E211" s="25"/>
      <c r="F211" s="25"/>
      <c r="G211" s="25"/>
      <c r="H211" s="25"/>
      <c r="I211" s="25"/>
      <c r="J211" s="25"/>
      <c r="K211" s="25"/>
      <c r="L211" s="25"/>
      <c r="M211" s="25"/>
      <c r="N211" s="25"/>
      <c r="O211" s="25"/>
    </row>
    <row r="212" spans="1:15" x14ac:dyDescent="0.25">
      <c r="A212" s="25"/>
      <c r="B212" s="25"/>
      <c r="C212" s="25"/>
      <c r="D212" s="25"/>
      <c r="E212" s="25"/>
      <c r="F212" s="25"/>
      <c r="G212" s="25"/>
      <c r="H212" s="25"/>
      <c r="I212" s="25"/>
      <c r="J212" s="25"/>
      <c r="K212" s="25"/>
      <c r="L212" s="25"/>
      <c r="M212" s="25"/>
      <c r="N212" s="25"/>
      <c r="O212" s="25"/>
    </row>
    <row r="213" spans="1:15" x14ac:dyDescent="0.25">
      <c r="A213" s="25"/>
      <c r="B213" s="25"/>
      <c r="C213" s="25"/>
      <c r="D213" s="25"/>
      <c r="E213" s="25"/>
      <c r="F213" s="25"/>
      <c r="G213" s="25"/>
      <c r="H213" s="25"/>
      <c r="I213" s="25"/>
      <c r="J213" s="25"/>
      <c r="K213" s="25"/>
      <c r="L213" s="25"/>
      <c r="M213" s="25"/>
      <c r="N213" s="25"/>
      <c r="O213" s="25"/>
    </row>
    <row r="214" spans="1:15" x14ac:dyDescent="0.25">
      <c r="A214" s="25"/>
      <c r="B214" s="25"/>
      <c r="C214" s="25"/>
      <c r="D214" s="25"/>
      <c r="E214" s="25"/>
      <c r="F214" s="25"/>
      <c r="G214" s="25"/>
      <c r="H214" s="25"/>
      <c r="I214" s="25"/>
      <c r="J214" s="25"/>
      <c r="K214" s="25"/>
      <c r="L214" s="25"/>
      <c r="M214" s="25"/>
      <c r="N214" s="25"/>
      <c r="O214" s="25"/>
    </row>
    <row r="215" spans="1:15" x14ac:dyDescent="0.25">
      <c r="A215" s="25"/>
      <c r="B215" s="25"/>
      <c r="C215" s="25"/>
      <c r="D215" s="25"/>
      <c r="E215" s="25"/>
      <c r="F215" s="25"/>
      <c r="G215" s="25"/>
      <c r="H215" s="25"/>
      <c r="I215" s="25"/>
      <c r="J215" s="25"/>
      <c r="K215" s="25"/>
      <c r="L215" s="25"/>
      <c r="M215" s="25"/>
      <c r="N215" s="25"/>
      <c r="O215" s="25"/>
    </row>
    <row r="216" spans="1:15" x14ac:dyDescent="0.25">
      <c r="A216" s="25"/>
      <c r="B216" s="25"/>
      <c r="C216" s="25"/>
      <c r="D216" s="25"/>
      <c r="E216" s="25"/>
      <c r="F216" s="25"/>
      <c r="G216" s="25"/>
      <c r="H216" s="25"/>
      <c r="I216" s="25"/>
      <c r="J216" s="25"/>
      <c r="K216" s="25"/>
      <c r="L216" s="25"/>
      <c r="M216" s="25"/>
      <c r="N216" s="25"/>
      <c r="O216" s="25"/>
    </row>
    <row r="217" spans="1:15" x14ac:dyDescent="0.25">
      <c r="A217" s="25"/>
      <c r="B217" s="25"/>
      <c r="C217" s="25"/>
      <c r="D217" s="25"/>
      <c r="E217" s="25"/>
      <c r="F217" s="25"/>
      <c r="G217" s="25"/>
      <c r="H217" s="25"/>
      <c r="I217" s="25"/>
      <c r="J217" s="25"/>
      <c r="K217" s="25"/>
      <c r="L217" s="25"/>
      <c r="M217" s="25"/>
      <c r="N217" s="25"/>
      <c r="O217" s="25"/>
    </row>
    <row r="218" spans="1:15" x14ac:dyDescent="0.25">
      <c r="A218" s="25"/>
      <c r="B218" s="25"/>
      <c r="C218" s="25"/>
      <c r="D218" s="25"/>
      <c r="E218" s="25"/>
      <c r="F218" s="25"/>
      <c r="G218" s="25"/>
      <c r="H218" s="25"/>
      <c r="I218" s="25"/>
      <c r="J218" s="25"/>
      <c r="K218" s="25"/>
      <c r="L218" s="25"/>
      <c r="M218" s="25"/>
      <c r="N218" s="25"/>
      <c r="O218" s="25"/>
    </row>
    <row r="219" spans="1:15" x14ac:dyDescent="0.25">
      <c r="A219" s="25"/>
      <c r="B219" s="25"/>
      <c r="C219" s="25"/>
      <c r="D219" s="25"/>
      <c r="E219" s="25"/>
      <c r="F219" s="25"/>
      <c r="G219" s="25"/>
      <c r="H219" s="25"/>
      <c r="I219" s="25"/>
      <c r="J219" s="25"/>
      <c r="K219" s="25"/>
      <c r="L219" s="25"/>
      <c r="M219" s="25"/>
      <c r="N219" s="25"/>
      <c r="O219" s="25"/>
    </row>
    <row r="220" spans="1:15" x14ac:dyDescent="0.25">
      <c r="A220" s="25"/>
      <c r="B220" s="25"/>
      <c r="C220" s="25"/>
      <c r="D220" s="25"/>
      <c r="E220" s="25"/>
      <c r="F220" s="25"/>
      <c r="G220" s="25"/>
      <c r="H220" s="25"/>
      <c r="I220" s="25"/>
      <c r="J220" s="25"/>
      <c r="K220" s="25"/>
      <c r="L220" s="25"/>
      <c r="M220" s="25"/>
      <c r="N220" s="25"/>
      <c r="O220" s="25"/>
    </row>
    <row r="221" spans="1:15" x14ac:dyDescent="0.25">
      <c r="A221" s="25"/>
      <c r="B221" s="25"/>
      <c r="C221" s="25"/>
      <c r="D221" s="25"/>
      <c r="E221" s="25"/>
      <c r="F221" s="25"/>
      <c r="G221" s="25"/>
      <c r="H221" s="25"/>
      <c r="I221" s="25"/>
      <c r="J221" s="25"/>
      <c r="K221" s="25"/>
      <c r="L221" s="25"/>
      <c r="M221" s="25"/>
      <c r="N221" s="25"/>
      <c r="O221" s="25"/>
    </row>
    <row r="222" spans="1:15" x14ac:dyDescent="0.25">
      <c r="A222" s="25"/>
      <c r="B222" s="25"/>
      <c r="C222" s="25"/>
      <c r="D222" s="25"/>
      <c r="E222" s="25"/>
      <c r="F222" s="25"/>
      <c r="G222" s="25"/>
      <c r="H222" s="25"/>
      <c r="I222" s="25"/>
      <c r="J222" s="25"/>
      <c r="K222" s="25"/>
      <c r="L222" s="25"/>
      <c r="M222" s="25"/>
      <c r="N222" s="25"/>
      <c r="O222" s="25"/>
    </row>
    <row r="223" spans="1:15" x14ac:dyDescent="0.25">
      <c r="A223" s="25"/>
      <c r="B223" s="25"/>
      <c r="C223" s="25"/>
      <c r="D223" s="25"/>
      <c r="E223" s="25"/>
      <c r="F223" s="25"/>
      <c r="G223" s="25"/>
      <c r="H223" s="25"/>
      <c r="I223" s="25"/>
      <c r="J223" s="25"/>
      <c r="K223" s="25"/>
      <c r="L223" s="25"/>
      <c r="M223" s="25"/>
      <c r="N223" s="25"/>
      <c r="O223" s="25"/>
    </row>
    <row r="224" spans="1:15" x14ac:dyDescent="0.25">
      <c r="A224" s="25"/>
      <c r="B224" s="25"/>
      <c r="C224" s="25"/>
      <c r="D224" s="25"/>
      <c r="E224" s="25"/>
      <c r="F224" s="25"/>
      <c r="G224" s="25"/>
      <c r="H224" s="25"/>
      <c r="I224" s="25"/>
      <c r="J224" s="25"/>
      <c r="K224" s="25"/>
      <c r="L224" s="25"/>
      <c r="M224" s="25"/>
      <c r="N224" s="25"/>
      <c r="O224" s="25"/>
    </row>
    <row r="225" spans="1:15" x14ac:dyDescent="0.25">
      <c r="A225" s="25"/>
      <c r="B225" s="25"/>
      <c r="C225" s="25"/>
      <c r="D225" s="25"/>
      <c r="E225" s="25"/>
      <c r="F225" s="25"/>
      <c r="G225" s="25"/>
      <c r="H225" s="25"/>
      <c r="I225" s="25"/>
      <c r="J225" s="25"/>
      <c r="K225" s="25"/>
      <c r="L225" s="25"/>
      <c r="M225" s="25"/>
      <c r="N225" s="25"/>
      <c r="O225" s="25"/>
    </row>
    <row r="226" spans="1:15" x14ac:dyDescent="0.25">
      <c r="A226" s="25"/>
      <c r="B226" s="25"/>
      <c r="C226" s="25"/>
      <c r="D226" s="25"/>
      <c r="E226" s="25"/>
      <c r="F226" s="25"/>
      <c r="G226" s="25"/>
      <c r="H226" s="25"/>
      <c r="I226" s="25"/>
      <c r="J226" s="25"/>
      <c r="K226" s="25"/>
      <c r="L226" s="25"/>
      <c r="M226" s="25"/>
      <c r="N226" s="25"/>
      <c r="O226" s="25"/>
    </row>
    <row r="227" spans="1:15" x14ac:dyDescent="0.25">
      <c r="A227" s="25"/>
      <c r="B227" s="25"/>
      <c r="C227" s="25"/>
      <c r="D227" s="25"/>
      <c r="E227" s="25"/>
      <c r="F227" s="25"/>
      <c r="G227" s="25"/>
      <c r="H227" s="25"/>
      <c r="I227" s="25"/>
      <c r="J227" s="25"/>
      <c r="K227" s="25"/>
      <c r="L227" s="25"/>
      <c r="M227" s="25"/>
      <c r="N227" s="25"/>
      <c r="O227" s="25"/>
    </row>
    <row r="228" spans="1:15" x14ac:dyDescent="0.25">
      <c r="A228" s="25"/>
      <c r="B228" s="25"/>
      <c r="C228" s="25"/>
      <c r="D228" s="25"/>
      <c r="E228" s="25"/>
      <c r="F228" s="25"/>
      <c r="G228" s="25"/>
      <c r="H228" s="25"/>
      <c r="I228" s="25"/>
      <c r="J228" s="25"/>
      <c r="K228" s="25"/>
      <c r="L228" s="25"/>
      <c r="M228" s="25"/>
      <c r="N228" s="25"/>
      <c r="O228" s="25"/>
    </row>
    <row r="229" spans="1:15" x14ac:dyDescent="0.25">
      <c r="A229" s="25"/>
      <c r="B229" s="25"/>
      <c r="C229" s="25"/>
      <c r="D229" s="25"/>
      <c r="E229" s="25"/>
      <c r="F229" s="25"/>
      <c r="G229" s="25"/>
      <c r="H229" s="25"/>
      <c r="I229" s="25"/>
      <c r="J229" s="25"/>
      <c r="K229" s="25"/>
      <c r="L229" s="25"/>
      <c r="M229" s="25"/>
      <c r="N229" s="25"/>
      <c r="O229" s="25"/>
    </row>
    <row r="230" spans="1:15" x14ac:dyDescent="0.25">
      <c r="A230" s="25"/>
      <c r="B230" s="25"/>
      <c r="C230" s="25"/>
      <c r="D230" s="25"/>
      <c r="E230" s="25"/>
      <c r="F230" s="25"/>
      <c r="G230" s="25"/>
      <c r="H230" s="25"/>
      <c r="I230" s="25"/>
      <c r="J230" s="25"/>
      <c r="K230" s="25"/>
      <c r="L230" s="25"/>
      <c r="M230" s="25"/>
      <c r="N230" s="25"/>
      <c r="O230" s="25"/>
    </row>
    <row r="231" spans="1:15" x14ac:dyDescent="0.25">
      <c r="A231" s="25"/>
      <c r="B231" s="25"/>
      <c r="C231" s="25"/>
      <c r="D231" s="25"/>
      <c r="E231" s="25"/>
      <c r="F231" s="25"/>
      <c r="G231" s="25"/>
      <c r="H231" s="25"/>
      <c r="I231" s="25"/>
      <c r="J231" s="25"/>
      <c r="K231" s="25"/>
      <c r="L231" s="25"/>
      <c r="M231" s="25"/>
      <c r="N231" s="25"/>
      <c r="O231" s="25"/>
    </row>
    <row r="232" spans="1:15" x14ac:dyDescent="0.25">
      <c r="A232" s="25"/>
      <c r="B232" s="25"/>
      <c r="C232" s="25"/>
      <c r="D232" s="25"/>
      <c r="E232" s="25"/>
      <c r="F232" s="25"/>
      <c r="G232" s="25"/>
      <c r="H232" s="25"/>
      <c r="I232" s="25"/>
      <c r="J232" s="25"/>
      <c r="K232" s="25"/>
      <c r="L232" s="25"/>
      <c r="M232" s="25"/>
      <c r="N232" s="25"/>
      <c r="O232" s="25"/>
    </row>
    <row r="233" spans="1:15" x14ac:dyDescent="0.25">
      <c r="A233" s="25"/>
      <c r="B233" s="25"/>
      <c r="C233" s="25"/>
      <c r="D233" s="25"/>
      <c r="E233" s="25"/>
      <c r="F233" s="25"/>
      <c r="G233" s="25"/>
      <c r="H233" s="25"/>
      <c r="I233" s="25"/>
      <c r="J233" s="25"/>
      <c r="K233" s="25"/>
      <c r="L233" s="25"/>
      <c r="M233" s="25"/>
      <c r="N233" s="25"/>
      <c r="O233" s="25"/>
    </row>
    <row r="234" spans="1:15" x14ac:dyDescent="0.25">
      <c r="A234" s="25"/>
      <c r="B234" s="25"/>
      <c r="C234" s="25"/>
      <c r="D234" s="25"/>
      <c r="E234" s="25"/>
      <c r="F234" s="25"/>
      <c r="G234" s="25"/>
      <c r="H234" s="25"/>
      <c r="I234" s="25"/>
      <c r="J234" s="25"/>
      <c r="K234" s="25"/>
      <c r="L234" s="25"/>
      <c r="M234" s="25"/>
      <c r="N234" s="25"/>
      <c r="O234" s="25"/>
    </row>
    <row r="235" spans="1:15" x14ac:dyDescent="0.25">
      <c r="A235" s="25"/>
      <c r="B235" s="25"/>
      <c r="C235" s="25"/>
      <c r="D235" s="25"/>
      <c r="E235" s="25"/>
      <c r="F235" s="25"/>
      <c r="G235" s="25"/>
      <c r="H235" s="25"/>
      <c r="I235" s="25"/>
      <c r="J235" s="25"/>
      <c r="K235" s="25"/>
      <c r="L235" s="25"/>
      <c r="M235" s="25"/>
      <c r="N235" s="25"/>
      <c r="O235" s="25"/>
    </row>
    <row r="236" spans="1:15" x14ac:dyDescent="0.25">
      <c r="A236" s="25"/>
      <c r="B236" s="25"/>
      <c r="C236" s="25"/>
      <c r="D236" s="25"/>
      <c r="E236" s="25"/>
      <c r="F236" s="25"/>
      <c r="G236" s="25"/>
      <c r="H236" s="25"/>
      <c r="I236" s="25"/>
      <c r="J236" s="25"/>
      <c r="K236" s="25"/>
      <c r="L236" s="25"/>
      <c r="M236" s="25"/>
      <c r="N236" s="25"/>
      <c r="O236" s="25"/>
    </row>
    <row r="237" spans="1:15" x14ac:dyDescent="0.25">
      <c r="A237" s="25"/>
      <c r="B237" s="25"/>
      <c r="C237" s="25"/>
      <c r="D237" s="25"/>
      <c r="E237" s="25"/>
      <c r="F237" s="25"/>
      <c r="G237" s="25"/>
      <c r="H237" s="25"/>
      <c r="I237" s="25"/>
      <c r="J237" s="25"/>
      <c r="K237" s="25"/>
      <c r="L237" s="25"/>
      <c r="M237" s="25"/>
      <c r="N237" s="25"/>
      <c r="O237" s="25"/>
    </row>
    <row r="238" spans="1:15" x14ac:dyDescent="0.25">
      <c r="A238" s="25"/>
      <c r="B238" s="25"/>
      <c r="C238" s="25"/>
      <c r="D238" s="25"/>
      <c r="E238" s="25"/>
      <c r="F238" s="25"/>
      <c r="G238" s="25"/>
      <c r="H238" s="25"/>
      <c r="I238" s="25"/>
      <c r="J238" s="25"/>
      <c r="K238" s="25"/>
      <c r="L238" s="25"/>
      <c r="M238" s="25"/>
      <c r="N238" s="25"/>
      <c r="O238" s="25"/>
    </row>
    <row r="239" spans="1:15" x14ac:dyDescent="0.25">
      <c r="A239" s="25"/>
      <c r="B239" s="25"/>
      <c r="C239" s="25"/>
      <c r="D239" s="25"/>
      <c r="E239" s="25"/>
      <c r="F239" s="25"/>
      <c r="G239" s="25"/>
      <c r="H239" s="25"/>
      <c r="I239" s="25"/>
      <c r="J239" s="25"/>
      <c r="K239" s="25"/>
      <c r="L239" s="25"/>
      <c r="M239" s="25"/>
      <c r="N239" s="25"/>
      <c r="O239" s="25"/>
    </row>
    <row r="240" spans="1:15" x14ac:dyDescent="0.25">
      <c r="A240" s="25"/>
      <c r="B240" s="25"/>
      <c r="C240" s="25"/>
      <c r="D240" s="25"/>
      <c r="E240" s="25"/>
      <c r="F240" s="25"/>
      <c r="G240" s="25"/>
      <c r="H240" s="25"/>
      <c r="I240" s="25"/>
      <c r="J240" s="25"/>
      <c r="K240" s="25"/>
      <c r="L240" s="25"/>
      <c r="M240" s="25"/>
      <c r="N240" s="25"/>
      <c r="O240" s="25"/>
    </row>
    <row r="241" spans="1:15" x14ac:dyDescent="0.25">
      <c r="A241" s="25"/>
      <c r="B241" s="25"/>
      <c r="C241" s="25"/>
      <c r="D241" s="25"/>
      <c r="E241" s="25"/>
      <c r="F241" s="25"/>
      <c r="G241" s="25"/>
      <c r="H241" s="25"/>
      <c r="I241" s="25"/>
      <c r="J241" s="25"/>
      <c r="K241" s="25"/>
      <c r="L241" s="25"/>
      <c r="M241" s="25"/>
      <c r="N241" s="25"/>
      <c r="O241" s="25"/>
    </row>
    <row r="242" spans="1:15" x14ac:dyDescent="0.25">
      <c r="A242" s="25"/>
      <c r="B242" s="25"/>
      <c r="C242" s="25"/>
      <c r="D242" s="25"/>
      <c r="E242" s="25"/>
      <c r="F242" s="25"/>
      <c r="G242" s="25"/>
      <c r="H242" s="25"/>
      <c r="I242" s="25"/>
      <c r="J242" s="25"/>
      <c r="K242" s="25"/>
      <c r="L242" s="25"/>
      <c r="M242" s="25"/>
      <c r="N242" s="25"/>
      <c r="O242" s="25"/>
    </row>
    <row r="243" spans="1:15" x14ac:dyDescent="0.25">
      <c r="A243" s="25"/>
      <c r="B243" s="25"/>
      <c r="C243" s="25"/>
      <c r="D243" s="25"/>
      <c r="E243" s="25"/>
      <c r="F243" s="25"/>
      <c r="G243" s="25"/>
      <c r="H243" s="25"/>
      <c r="I243" s="25"/>
      <c r="J243" s="25"/>
      <c r="K243" s="25"/>
      <c r="L243" s="25"/>
      <c r="M243" s="25"/>
      <c r="N243" s="25"/>
      <c r="O243" s="25"/>
    </row>
    <row r="244" spans="1:15" x14ac:dyDescent="0.25">
      <c r="A244" s="25"/>
      <c r="B244" s="25"/>
      <c r="C244" s="25"/>
      <c r="D244" s="25"/>
      <c r="E244" s="25"/>
      <c r="F244" s="25"/>
      <c r="G244" s="25"/>
      <c r="H244" s="25"/>
      <c r="I244" s="25"/>
      <c r="J244" s="25"/>
      <c r="K244" s="25"/>
      <c r="L244" s="25"/>
      <c r="M244" s="25"/>
      <c r="N244" s="25"/>
      <c r="O244" s="25"/>
    </row>
    <row r="245" spans="1:15" x14ac:dyDescent="0.25">
      <c r="A245" s="25"/>
      <c r="B245" s="25"/>
      <c r="C245" s="25"/>
      <c r="D245" s="25"/>
      <c r="E245" s="25"/>
      <c r="F245" s="25"/>
      <c r="G245" s="25"/>
      <c r="H245" s="25"/>
      <c r="I245" s="25"/>
      <c r="J245" s="25"/>
      <c r="K245" s="25"/>
      <c r="L245" s="25"/>
      <c r="M245" s="25"/>
      <c r="N245" s="25"/>
      <c r="O245" s="25"/>
    </row>
    <row r="246" spans="1:15" x14ac:dyDescent="0.25">
      <c r="A246" s="25"/>
      <c r="B246" s="25"/>
      <c r="C246" s="25"/>
      <c r="D246" s="25"/>
      <c r="E246" s="25"/>
      <c r="F246" s="25"/>
      <c r="G246" s="25"/>
      <c r="H246" s="25"/>
      <c r="I246" s="25"/>
      <c r="J246" s="25"/>
      <c r="K246" s="25"/>
      <c r="L246" s="25"/>
      <c r="M246" s="25"/>
      <c r="N246" s="25"/>
      <c r="O246" s="25"/>
    </row>
    <row r="247" spans="1:15" x14ac:dyDescent="0.25">
      <c r="A247" s="25"/>
      <c r="B247" s="25"/>
      <c r="C247" s="25"/>
      <c r="D247" s="25"/>
      <c r="E247" s="25"/>
      <c r="F247" s="25"/>
      <c r="G247" s="25"/>
      <c r="H247" s="25"/>
      <c r="I247" s="25"/>
      <c r="J247" s="25"/>
      <c r="K247" s="25"/>
      <c r="L247" s="25"/>
      <c r="M247" s="25"/>
      <c r="N247" s="25"/>
      <c r="O247" s="25"/>
    </row>
    <row r="248" spans="1:15" x14ac:dyDescent="0.25">
      <c r="A248" s="25"/>
      <c r="B248" s="25"/>
      <c r="C248" s="25"/>
      <c r="D248" s="25"/>
      <c r="E248" s="25"/>
      <c r="F248" s="25"/>
      <c r="G248" s="25"/>
      <c r="H248" s="25"/>
      <c r="I248" s="25"/>
      <c r="J248" s="25"/>
      <c r="K248" s="25"/>
      <c r="L248" s="25"/>
      <c r="M248" s="25"/>
      <c r="N248" s="25"/>
      <c r="O248" s="25"/>
    </row>
    <row r="249" spans="1:15" x14ac:dyDescent="0.25">
      <c r="A249" s="25"/>
      <c r="B249" s="25"/>
      <c r="C249" s="25"/>
      <c r="D249" s="25"/>
      <c r="E249" s="25"/>
      <c r="F249" s="25"/>
      <c r="G249" s="25"/>
      <c r="H249" s="25"/>
      <c r="I249" s="25"/>
      <c r="J249" s="25"/>
      <c r="K249" s="25"/>
      <c r="L249" s="25"/>
      <c r="M249" s="25"/>
      <c r="N249" s="25"/>
      <c r="O249" s="25"/>
    </row>
    <row r="250" spans="1:15" x14ac:dyDescent="0.25">
      <c r="A250" s="25"/>
      <c r="B250" s="25"/>
      <c r="C250" s="25"/>
      <c r="D250" s="25"/>
      <c r="E250" s="25"/>
      <c r="F250" s="25"/>
      <c r="G250" s="25"/>
      <c r="H250" s="25"/>
      <c r="I250" s="25"/>
      <c r="J250" s="25"/>
      <c r="K250" s="25"/>
      <c r="L250" s="25"/>
      <c r="M250" s="25"/>
      <c r="N250" s="25"/>
      <c r="O250" s="25"/>
    </row>
    <row r="251" spans="1:15" x14ac:dyDescent="0.25">
      <c r="A251" s="25"/>
      <c r="B251" s="25"/>
      <c r="C251" s="25"/>
      <c r="D251" s="25"/>
      <c r="E251" s="25"/>
      <c r="F251" s="25"/>
      <c r="G251" s="25"/>
      <c r="H251" s="25"/>
      <c r="I251" s="25"/>
      <c r="J251" s="25"/>
      <c r="K251" s="25"/>
      <c r="L251" s="25"/>
      <c r="M251" s="25"/>
      <c r="N251" s="25"/>
      <c r="O251" s="25"/>
    </row>
    <row r="252" spans="1:15" x14ac:dyDescent="0.25">
      <c r="A252" s="25"/>
      <c r="B252" s="25"/>
      <c r="C252" s="25"/>
      <c r="D252" s="25"/>
      <c r="E252" s="25"/>
      <c r="F252" s="25"/>
      <c r="G252" s="25"/>
      <c r="H252" s="25"/>
      <c r="I252" s="25"/>
      <c r="J252" s="25"/>
      <c r="K252" s="25"/>
      <c r="L252" s="25"/>
      <c r="M252" s="25"/>
      <c r="N252" s="25"/>
      <c r="O252" s="25"/>
    </row>
    <row r="253" spans="1:15" x14ac:dyDescent="0.25">
      <c r="A253" s="25"/>
      <c r="B253" s="25"/>
      <c r="C253" s="25"/>
      <c r="D253" s="25"/>
      <c r="E253" s="25"/>
      <c r="F253" s="25"/>
      <c r="G253" s="25"/>
      <c r="H253" s="25"/>
      <c r="I253" s="25"/>
      <c r="J253" s="25"/>
      <c r="K253" s="25"/>
      <c r="L253" s="25"/>
      <c r="M253" s="25"/>
      <c r="N253" s="25"/>
      <c r="O253" s="25"/>
    </row>
    <row r="254" spans="1:15" x14ac:dyDescent="0.25">
      <c r="A254" s="25"/>
      <c r="B254" s="25"/>
      <c r="C254" s="25"/>
      <c r="D254" s="25"/>
      <c r="E254" s="25"/>
      <c r="F254" s="25"/>
      <c r="G254" s="25"/>
      <c r="H254" s="25"/>
      <c r="I254" s="25"/>
      <c r="J254" s="25"/>
      <c r="K254" s="25"/>
      <c r="L254" s="25"/>
      <c r="M254" s="25"/>
      <c r="N254" s="25"/>
      <c r="O254" s="25"/>
    </row>
    <row r="255" spans="1:15" x14ac:dyDescent="0.25">
      <c r="A255" s="25"/>
      <c r="B255" s="25"/>
      <c r="C255" s="25"/>
      <c r="D255" s="25"/>
      <c r="E255" s="25"/>
      <c r="F255" s="25"/>
      <c r="G255" s="25"/>
      <c r="H255" s="25"/>
      <c r="I255" s="25"/>
      <c r="J255" s="25"/>
      <c r="K255" s="25"/>
      <c r="L255" s="25"/>
      <c r="M255" s="25"/>
      <c r="N255" s="25"/>
      <c r="O255" s="25"/>
    </row>
    <row r="256" spans="1:15" x14ac:dyDescent="0.25">
      <c r="A256" s="25"/>
      <c r="B256" s="25"/>
      <c r="C256" s="25"/>
      <c r="D256" s="25"/>
      <c r="E256" s="25"/>
      <c r="F256" s="25"/>
      <c r="G256" s="25"/>
      <c r="H256" s="25"/>
      <c r="I256" s="25"/>
      <c r="J256" s="25"/>
      <c r="K256" s="25"/>
      <c r="L256" s="25"/>
      <c r="M256" s="25"/>
      <c r="N256" s="25"/>
      <c r="O256" s="25"/>
    </row>
    <row r="257" spans="1:15" x14ac:dyDescent="0.25">
      <c r="A257" s="25"/>
      <c r="B257" s="25"/>
      <c r="C257" s="25"/>
      <c r="D257" s="25"/>
      <c r="E257" s="25"/>
      <c r="F257" s="25"/>
      <c r="G257" s="25"/>
      <c r="H257" s="25"/>
      <c r="I257" s="25"/>
      <c r="J257" s="25"/>
      <c r="K257" s="25"/>
      <c r="L257" s="25"/>
      <c r="M257" s="25"/>
      <c r="N257" s="25"/>
      <c r="O257" s="25"/>
    </row>
    <row r="258" spans="1:15" x14ac:dyDescent="0.25">
      <c r="A258" s="25"/>
      <c r="B258" s="25"/>
      <c r="C258" s="25"/>
      <c r="D258" s="25"/>
      <c r="E258" s="25"/>
      <c r="F258" s="25"/>
      <c r="G258" s="25"/>
      <c r="H258" s="25"/>
      <c r="I258" s="25"/>
      <c r="J258" s="25"/>
      <c r="K258" s="25"/>
      <c r="L258" s="25"/>
      <c r="M258" s="25"/>
      <c r="N258" s="25"/>
      <c r="O258" s="25"/>
    </row>
    <row r="259" spans="1:15" x14ac:dyDescent="0.25">
      <c r="A259" s="25"/>
      <c r="B259" s="25"/>
      <c r="C259" s="25"/>
      <c r="D259" s="25"/>
      <c r="E259" s="25"/>
      <c r="F259" s="25"/>
      <c r="G259" s="25"/>
      <c r="H259" s="25"/>
      <c r="I259" s="25"/>
      <c r="J259" s="25"/>
      <c r="K259" s="25"/>
      <c r="L259" s="25"/>
      <c r="M259" s="25"/>
      <c r="N259" s="25"/>
      <c r="O259" s="25"/>
    </row>
    <row r="260" spans="1:15" x14ac:dyDescent="0.25">
      <c r="A260" s="25"/>
      <c r="B260" s="25"/>
      <c r="C260" s="25"/>
      <c r="D260" s="25"/>
      <c r="E260" s="25"/>
      <c r="F260" s="25"/>
      <c r="G260" s="25"/>
      <c r="H260" s="25"/>
      <c r="I260" s="25"/>
      <c r="J260" s="25"/>
      <c r="K260" s="25"/>
      <c r="L260" s="25"/>
      <c r="M260" s="25"/>
      <c r="N260" s="25"/>
      <c r="O260" s="25"/>
    </row>
    <row r="261" spans="1:15" x14ac:dyDescent="0.25">
      <c r="A261" s="25"/>
      <c r="B261" s="25"/>
      <c r="C261" s="25"/>
      <c r="D261" s="25"/>
      <c r="E261" s="25"/>
      <c r="F261" s="25"/>
      <c r="G261" s="25"/>
      <c r="H261" s="25"/>
      <c r="I261" s="25"/>
      <c r="J261" s="25"/>
      <c r="K261" s="25"/>
      <c r="L261" s="25"/>
      <c r="M261" s="25"/>
      <c r="N261" s="25"/>
      <c r="O261" s="25"/>
    </row>
    <row r="262" spans="1:15" x14ac:dyDescent="0.25">
      <c r="A262" s="25"/>
      <c r="B262" s="25"/>
      <c r="C262" s="25"/>
      <c r="D262" s="25"/>
      <c r="E262" s="25"/>
      <c r="F262" s="25"/>
      <c r="G262" s="25"/>
      <c r="H262" s="25"/>
      <c r="I262" s="25"/>
      <c r="J262" s="25"/>
      <c r="K262" s="25"/>
      <c r="L262" s="25"/>
      <c r="M262" s="25"/>
      <c r="N262" s="25"/>
      <c r="O262" s="25"/>
    </row>
    <row r="263" spans="1:15" x14ac:dyDescent="0.25">
      <c r="A263" s="25"/>
      <c r="B263" s="25"/>
      <c r="C263" s="25"/>
      <c r="D263" s="25"/>
      <c r="E263" s="25"/>
      <c r="F263" s="25"/>
      <c r="G263" s="25"/>
      <c r="H263" s="25"/>
      <c r="I263" s="25"/>
      <c r="J263" s="25"/>
      <c r="K263" s="25"/>
      <c r="L263" s="25"/>
      <c r="M263" s="25"/>
      <c r="N263" s="25"/>
      <c r="O263" s="25"/>
    </row>
    <row r="264" spans="1:15" x14ac:dyDescent="0.25">
      <c r="A264" s="25"/>
      <c r="B264" s="25"/>
      <c r="C264" s="25"/>
      <c r="D264" s="25"/>
      <c r="E264" s="25"/>
      <c r="F264" s="25"/>
      <c r="G264" s="25"/>
      <c r="H264" s="25"/>
      <c r="I264" s="25"/>
      <c r="J264" s="25"/>
      <c r="K264" s="25"/>
      <c r="L264" s="25"/>
      <c r="M264" s="25"/>
      <c r="N264" s="25"/>
      <c r="O264" s="25"/>
    </row>
    <row r="265" spans="1:15" x14ac:dyDescent="0.25">
      <c r="A265" s="25"/>
      <c r="B265" s="25"/>
      <c r="C265" s="25"/>
      <c r="D265" s="25"/>
      <c r="E265" s="25"/>
      <c r="F265" s="25"/>
      <c r="G265" s="25"/>
      <c r="H265" s="25"/>
      <c r="I265" s="25"/>
      <c r="J265" s="25"/>
      <c r="K265" s="25"/>
      <c r="L265" s="25"/>
      <c r="M265" s="25"/>
      <c r="N265" s="25"/>
      <c r="O265" s="25"/>
    </row>
    <row r="266" spans="1:15" x14ac:dyDescent="0.25">
      <c r="A266" s="25"/>
      <c r="B266" s="25"/>
      <c r="C266" s="25"/>
      <c r="D266" s="25"/>
      <c r="E266" s="25"/>
      <c r="F266" s="25"/>
      <c r="G266" s="25"/>
      <c r="H266" s="25"/>
      <c r="I266" s="25"/>
      <c r="J266" s="25"/>
      <c r="K266" s="25"/>
      <c r="L266" s="25"/>
      <c r="M266" s="25"/>
      <c r="N266" s="25"/>
      <c r="O266" s="25"/>
    </row>
    <row r="267" spans="1:15" x14ac:dyDescent="0.25">
      <c r="A267" s="25"/>
      <c r="B267" s="25"/>
      <c r="C267" s="25"/>
      <c r="D267" s="25"/>
      <c r="E267" s="25"/>
      <c r="F267" s="25"/>
      <c r="G267" s="25"/>
      <c r="H267" s="25"/>
      <c r="I267" s="25"/>
      <c r="J267" s="25"/>
      <c r="K267" s="25"/>
      <c r="L267" s="25"/>
      <c r="M267" s="25"/>
      <c r="N267" s="25"/>
      <c r="O267" s="25"/>
    </row>
    <row r="268" spans="1:15" x14ac:dyDescent="0.25">
      <c r="A268" s="25"/>
      <c r="B268" s="25"/>
      <c r="C268" s="25"/>
      <c r="D268" s="25"/>
      <c r="E268" s="25"/>
      <c r="F268" s="25"/>
      <c r="G268" s="25"/>
      <c r="H268" s="25"/>
      <c r="I268" s="25"/>
      <c r="J268" s="25"/>
      <c r="K268" s="25"/>
      <c r="L268" s="25"/>
      <c r="M268" s="25"/>
      <c r="N268" s="25"/>
      <c r="O268" s="25"/>
    </row>
    <row r="269" spans="1:15" x14ac:dyDescent="0.25">
      <c r="A269" s="25"/>
      <c r="B269" s="25"/>
      <c r="C269" s="25"/>
      <c r="D269" s="25"/>
      <c r="E269" s="25"/>
      <c r="F269" s="25"/>
      <c r="G269" s="25"/>
      <c r="H269" s="25"/>
      <c r="I269" s="25"/>
      <c r="J269" s="25"/>
      <c r="K269" s="25"/>
      <c r="L269" s="25"/>
      <c r="M269" s="25"/>
      <c r="N269" s="25"/>
      <c r="O269" s="25"/>
    </row>
    <row r="270" spans="1:15" x14ac:dyDescent="0.25">
      <c r="A270" s="25"/>
      <c r="B270" s="25"/>
      <c r="C270" s="25"/>
      <c r="D270" s="25"/>
      <c r="E270" s="25"/>
      <c r="F270" s="25"/>
      <c r="G270" s="25"/>
      <c r="H270" s="25"/>
      <c r="I270" s="25"/>
      <c r="J270" s="25"/>
      <c r="K270" s="25"/>
      <c r="L270" s="25"/>
      <c r="M270" s="25"/>
      <c r="N270" s="25"/>
      <c r="O270" s="25"/>
    </row>
    <row r="271" spans="1:15" x14ac:dyDescent="0.25">
      <c r="A271" s="25"/>
      <c r="B271" s="25"/>
      <c r="C271" s="25"/>
      <c r="D271" s="25"/>
      <c r="E271" s="25"/>
      <c r="F271" s="25"/>
      <c r="G271" s="25"/>
      <c r="H271" s="25"/>
      <c r="I271" s="25"/>
      <c r="J271" s="25"/>
      <c r="K271" s="25"/>
      <c r="L271" s="25"/>
      <c r="M271" s="25"/>
      <c r="N271" s="25"/>
      <c r="O271" s="25"/>
    </row>
    <row r="272" spans="1:15" x14ac:dyDescent="0.25">
      <c r="A272" s="25"/>
      <c r="B272" s="25"/>
      <c r="C272" s="25"/>
      <c r="D272" s="25"/>
      <c r="E272" s="25"/>
      <c r="F272" s="25"/>
      <c r="G272" s="25"/>
      <c r="H272" s="25"/>
      <c r="I272" s="25"/>
      <c r="J272" s="25"/>
      <c r="K272" s="25"/>
      <c r="L272" s="25"/>
      <c r="M272" s="25"/>
      <c r="N272" s="25"/>
      <c r="O272" s="25"/>
    </row>
    <row r="273" spans="1:15" x14ac:dyDescent="0.25">
      <c r="A273" s="25"/>
      <c r="B273" s="25"/>
      <c r="C273" s="25"/>
      <c r="D273" s="25"/>
      <c r="E273" s="25"/>
      <c r="F273" s="25"/>
      <c r="G273" s="25"/>
      <c r="H273" s="25"/>
      <c r="I273" s="25"/>
      <c r="J273" s="25"/>
      <c r="K273" s="25"/>
      <c r="L273" s="25"/>
      <c r="M273" s="25"/>
      <c r="N273" s="25"/>
      <c r="O273" s="25"/>
    </row>
    <row r="274" spans="1:15" x14ac:dyDescent="0.25">
      <c r="A274" s="25"/>
      <c r="B274" s="25"/>
      <c r="C274" s="25"/>
      <c r="D274" s="25"/>
      <c r="E274" s="25"/>
      <c r="F274" s="25"/>
      <c r="G274" s="25"/>
      <c r="H274" s="25"/>
      <c r="I274" s="25"/>
      <c r="J274" s="25"/>
      <c r="K274" s="25"/>
      <c r="L274" s="25"/>
      <c r="M274" s="25"/>
      <c r="N274" s="25"/>
      <c r="O274" s="25"/>
    </row>
    <row r="275" spans="1:15" x14ac:dyDescent="0.25">
      <c r="A275" s="25"/>
      <c r="B275" s="25"/>
      <c r="C275" s="25"/>
      <c r="D275" s="25"/>
      <c r="E275" s="25"/>
      <c r="F275" s="25"/>
      <c r="G275" s="25"/>
      <c r="H275" s="25"/>
      <c r="I275" s="25"/>
      <c r="J275" s="25"/>
      <c r="K275" s="25"/>
      <c r="L275" s="25"/>
      <c r="M275" s="25"/>
      <c r="N275" s="25"/>
      <c r="O275" s="25"/>
    </row>
    <row r="276" spans="1:15" x14ac:dyDescent="0.25">
      <c r="A276" s="25"/>
      <c r="B276" s="25"/>
      <c r="C276" s="25"/>
      <c r="D276" s="25"/>
      <c r="E276" s="25"/>
      <c r="F276" s="25"/>
      <c r="G276" s="25"/>
      <c r="H276" s="25"/>
      <c r="I276" s="25"/>
      <c r="J276" s="25"/>
      <c r="K276" s="25"/>
      <c r="L276" s="25"/>
      <c r="M276" s="25"/>
      <c r="N276" s="25"/>
      <c r="O276" s="25"/>
    </row>
    <row r="277" spans="1:15" x14ac:dyDescent="0.25">
      <c r="A277" s="25"/>
      <c r="B277" s="25"/>
      <c r="C277" s="25"/>
      <c r="D277" s="25"/>
      <c r="E277" s="25"/>
      <c r="F277" s="25"/>
      <c r="G277" s="25"/>
      <c r="H277" s="25"/>
      <c r="I277" s="25"/>
      <c r="J277" s="25"/>
      <c r="K277" s="25"/>
      <c r="L277" s="25"/>
      <c r="M277" s="25"/>
      <c r="N277" s="25"/>
      <c r="O277" s="25"/>
    </row>
    <row r="278" spans="1:15" x14ac:dyDescent="0.25">
      <c r="A278" s="25"/>
      <c r="B278" s="25"/>
      <c r="C278" s="25"/>
      <c r="D278" s="25"/>
      <c r="E278" s="25"/>
      <c r="F278" s="25"/>
      <c r="G278" s="25"/>
      <c r="H278" s="25"/>
      <c r="I278" s="25"/>
      <c r="J278" s="25"/>
      <c r="K278" s="25"/>
      <c r="L278" s="25"/>
      <c r="M278" s="25"/>
      <c r="N278" s="25"/>
      <c r="O278" s="25"/>
    </row>
    <row r="279" spans="1:15" x14ac:dyDescent="0.25">
      <c r="A279" s="25"/>
      <c r="B279" s="25"/>
      <c r="C279" s="25"/>
      <c r="D279" s="25"/>
      <c r="E279" s="25"/>
      <c r="F279" s="25"/>
      <c r="G279" s="25"/>
      <c r="H279" s="25"/>
      <c r="I279" s="25"/>
      <c r="J279" s="25"/>
      <c r="K279" s="25"/>
      <c r="L279" s="25"/>
      <c r="M279" s="25"/>
      <c r="N279" s="25"/>
      <c r="O279" s="25"/>
    </row>
    <row r="280" spans="1:15" x14ac:dyDescent="0.25">
      <c r="A280" s="25"/>
      <c r="B280" s="25"/>
      <c r="C280" s="25"/>
      <c r="D280" s="25"/>
      <c r="E280" s="25"/>
      <c r="F280" s="25"/>
      <c r="G280" s="25"/>
      <c r="H280" s="25"/>
      <c r="I280" s="25"/>
      <c r="J280" s="25"/>
      <c r="K280" s="25"/>
      <c r="L280" s="25"/>
      <c r="M280" s="25"/>
      <c r="N280" s="25"/>
      <c r="O280" s="25"/>
    </row>
    <row r="281" spans="1:15" x14ac:dyDescent="0.25">
      <c r="A281" s="25"/>
      <c r="B281" s="25"/>
      <c r="C281" s="25"/>
      <c r="D281" s="25"/>
      <c r="E281" s="25"/>
      <c r="F281" s="25"/>
      <c r="G281" s="25"/>
      <c r="H281" s="25"/>
      <c r="I281" s="25"/>
      <c r="J281" s="25"/>
      <c r="K281" s="25"/>
      <c r="L281" s="25"/>
      <c r="M281" s="25"/>
      <c r="N281" s="25"/>
      <c r="O281" s="25"/>
    </row>
    <row r="282" spans="1:15" x14ac:dyDescent="0.25">
      <c r="A282" s="25"/>
      <c r="B282" s="25"/>
      <c r="C282" s="25"/>
      <c r="D282" s="25"/>
      <c r="E282" s="25"/>
      <c r="F282" s="25"/>
      <c r="G282" s="25"/>
      <c r="H282" s="25"/>
      <c r="I282" s="25"/>
      <c r="J282" s="25"/>
      <c r="K282" s="25"/>
      <c r="L282" s="25"/>
      <c r="M282" s="25"/>
      <c r="N282" s="25"/>
      <c r="O282" s="25"/>
    </row>
    <row r="283" spans="1:15" x14ac:dyDescent="0.25">
      <c r="A283" s="25"/>
      <c r="B283" s="25"/>
      <c r="C283" s="25"/>
      <c r="D283" s="25"/>
      <c r="E283" s="25"/>
      <c r="F283" s="25"/>
      <c r="G283" s="25"/>
      <c r="H283" s="25"/>
      <c r="I283" s="25"/>
      <c r="J283" s="25"/>
      <c r="K283" s="25"/>
      <c r="L283" s="25"/>
      <c r="M283" s="25"/>
      <c r="N283" s="25"/>
      <c r="O283" s="25"/>
    </row>
    <row r="284" spans="1:15" x14ac:dyDescent="0.25">
      <c r="A284" s="25"/>
      <c r="B284" s="25"/>
      <c r="C284" s="25"/>
      <c r="D284" s="25"/>
      <c r="E284" s="25"/>
      <c r="F284" s="25"/>
      <c r="G284" s="25"/>
      <c r="H284" s="25"/>
      <c r="I284" s="25"/>
      <c r="J284" s="25"/>
      <c r="K284" s="25"/>
      <c r="L284" s="25"/>
      <c r="M284" s="25"/>
      <c r="N284" s="25"/>
      <c r="O284" s="25"/>
    </row>
    <row r="285" spans="1:15" x14ac:dyDescent="0.25">
      <c r="A285" s="25"/>
      <c r="B285" s="25"/>
      <c r="C285" s="25"/>
      <c r="D285" s="25"/>
      <c r="E285" s="25"/>
      <c r="F285" s="25"/>
      <c r="G285" s="25"/>
      <c r="H285" s="25"/>
      <c r="I285" s="25"/>
      <c r="J285" s="25"/>
      <c r="K285" s="25"/>
      <c r="L285" s="25"/>
      <c r="M285" s="25"/>
      <c r="N285" s="25"/>
      <c r="O285" s="25"/>
    </row>
    <row r="286" spans="1:15" x14ac:dyDescent="0.25">
      <c r="A286" s="25"/>
      <c r="B286" s="25"/>
      <c r="C286" s="25"/>
      <c r="D286" s="25"/>
      <c r="E286" s="25"/>
      <c r="F286" s="25"/>
      <c r="G286" s="25"/>
      <c r="H286" s="25"/>
      <c r="I286" s="25"/>
      <c r="J286" s="25"/>
      <c r="K286" s="25"/>
      <c r="L286" s="25"/>
      <c r="M286" s="25"/>
      <c r="N286" s="25"/>
      <c r="O286" s="25"/>
    </row>
    <row r="287" spans="1:15" x14ac:dyDescent="0.25">
      <c r="A287" s="25"/>
      <c r="B287" s="25"/>
      <c r="C287" s="25"/>
      <c r="D287" s="25"/>
      <c r="E287" s="25"/>
      <c r="F287" s="25"/>
      <c r="G287" s="25"/>
      <c r="H287" s="25"/>
      <c r="I287" s="25"/>
      <c r="J287" s="25"/>
      <c r="K287" s="25"/>
      <c r="L287" s="25"/>
      <c r="M287" s="25"/>
      <c r="N287" s="25"/>
      <c r="O287" s="25"/>
    </row>
    <row r="288" spans="1:15" x14ac:dyDescent="0.25">
      <c r="A288" s="25"/>
      <c r="B288" s="25"/>
      <c r="C288" s="25"/>
      <c r="D288" s="25"/>
      <c r="E288" s="25"/>
      <c r="F288" s="25"/>
      <c r="G288" s="25"/>
      <c r="H288" s="25"/>
      <c r="I288" s="25"/>
      <c r="J288" s="25"/>
      <c r="K288" s="25"/>
      <c r="L288" s="25"/>
      <c r="M288" s="25"/>
      <c r="N288" s="25"/>
      <c r="O288" s="25"/>
    </row>
  </sheetData>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4816811579834AB9CA42C02A0F304F" ma:contentTypeVersion="0" ma:contentTypeDescription="Create a new document." ma:contentTypeScope="" ma:versionID="48430e6cd6b1969a79009c2b7e42cfa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5A5D339-E37B-4940-BD2F-E6F55C6CA686}">
  <ds:schemaRefs>
    <ds:schemaRef ds:uri="http://schemas.microsoft.com/sharepoint/v3/contenttype/forms"/>
  </ds:schemaRefs>
</ds:datastoreItem>
</file>

<file path=customXml/itemProps2.xml><?xml version="1.0" encoding="utf-8"?>
<ds:datastoreItem xmlns:ds="http://schemas.openxmlformats.org/officeDocument/2006/customXml" ds:itemID="{24949DD2-8014-44E9-BBAB-EA50E6998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B002A8D-890E-43A8-BD6D-0CE9268F95AE}">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Code Sheet</vt:lpstr>
      <vt:lpstr>Report</vt:lpstr>
      <vt:lpstr>SRT Data</vt:lpstr>
      <vt:lpstr>Efficiency Calculations</vt:lpstr>
      <vt:lpst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alucas</dc:creator>
  <cp:lastModifiedBy>Andy Lucas</cp:lastModifiedBy>
  <cp:lastPrinted>2018-08-14T20:39:05Z</cp:lastPrinted>
  <dcterms:created xsi:type="dcterms:W3CDTF">2006-08-14T17:37:49Z</dcterms:created>
  <dcterms:modified xsi:type="dcterms:W3CDTF">2020-08-14T14:41:50Z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0x010100E84816811579834AB9CA42C02A0F304F</vt:lpwstr>
  </property>
</Properties>
</file>