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0\"/>
    </mc:Choice>
  </mc:AlternateContent>
  <bookViews>
    <workbookView xWindow="0" yWindow="0" windowWidth="23040" windowHeight="9192" activeTab="1"/>
  </bookViews>
  <sheets>
    <sheet name="Code Sheet" sheetId="2" r:id="rId1"/>
    <sheet name="Report" sheetId="1" r:id="rId2"/>
    <sheet name="Performance Data" sheetId="3" r:id="rId3"/>
    <sheet name="Efficiency Calculations" sheetId="4" r:id="rId4"/>
    <sheet name=" " sheetId="5" r:id="rId5"/>
  </sheets>
  <calcPr calcId="162913" iterate="1" iterateCount="1"/>
</workbook>
</file>

<file path=xl/calcChain.xml><?xml version="1.0" encoding="utf-8"?>
<calcChain xmlns="http://schemas.openxmlformats.org/spreadsheetml/2006/main">
  <c r="U27" i="4" l="1"/>
  <c r="U22" i="4"/>
  <c r="T27" i="4"/>
  <c r="T22" i="4"/>
  <c r="S27" i="4" l="1"/>
  <c r="S22" i="4"/>
  <c r="R22" i="4" l="1"/>
  <c r="X26" i="4" l="1"/>
  <c r="W26" i="4"/>
  <c r="V26" i="4"/>
  <c r="U26" i="4"/>
  <c r="T26" i="4"/>
  <c r="S26" i="4"/>
  <c r="R26" i="4"/>
  <c r="Q26" i="4"/>
  <c r="Q27" i="4" s="1"/>
  <c r="P26" i="4"/>
  <c r="P27" i="4" s="1"/>
  <c r="O26" i="4"/>
  <c r="O27" i="4" s="1"/>
  <c r="N26" i="4"/>
  <c r="N27" i="4" s="1"/>
  <c r="M26" i="4"/>
  <c r="M27" i="4" s="1"/>
  <c r="X21" i="4"/>
  <c r="W21" i="4"/>
  <c r="V21" i="4"/>
  <c r="U21" i="4"/>
  <c r="T21" i="4"/>
  <c r="S21" i="4"/>
  <c r="R24" i="1" l="1"/>
  <c r="R23" i="1"/>
  <c r="R22" i="1"/>
  <c r="R21" i="1"/>
  <c r="R20" i="1"/>
  <c r="R19" i="1"/>
  <c r="R18" i="1"/>
  <c r="R17" i="1"/>
  <c r="R16" i="1"/>
  <c r="R15" i="1"/>
  <c r="R12" i="1"/>
  <c r="R14" i="1"/>
  <c r="R13" i="1"/>
  <c r="P12" i="1"/>
  <c r="V27" i="4" l="1"/>
  <c r="V22" i="4"/>
  <c r="O16" i="1" l="1"/>
  <c r="R27" i="4" l="1"/>
  <c r="R21" i="4"/>
  <c r="Q21" i="4"/>
  <c r="Q22" i="4" s="1"/>
  <c r="P21" i="4"/>
  <c r="P22" i="4" s="1"/>
  <c r="O21" i="4"/>
  <c r="O22" i="4" s="1"/>
  <c r="N21" i="4"/>
  <c r="M21" i="4"/>
  <c r="M22" i="4" s="1"/>
  <c r="N22" i="4" l="1"/>
  <c r="N20" i="4" l="1"/>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N30" i="4"/>
  <c r="N32" i="4"/>
  <c r="F23" i="4"/>
  <c r="F22" i="4"/>
  <c r="O8" i="4"/>
  <c r="B11" i="4" s="1"/>
  <c r="O7" i="4"/>
  <c r="B10" i="4" s="1"/>
  <c r="N7" i="4"/>
  <c r="N8" i="4"/>
  <c r="O24" i="1"/>
  <c r="O21" i="1"/>
  <c r="O20" i="1"/>
  <c r="O19" i="1"/>
  <c r="O18" i="1"/>
  <c r="O17"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S21" i="1" l="1"/>
  <c r="S19" i="1"/>
  <c r="S20" i="1"/>
  <c r="S18" i="1"/>
  <c r="S24" i="1" s="1"/>
  <c r="S16" i="1"/>
  <c r="S14" i="1"/>
  <c r="S22" i="1"/>
  <c r="S17" i="1"/>
  <c r="S15" i="1"/>
  <c r="S23" i="1"/>
  <c r="S13" i="1"/>
  <c r="Q14" i="1"/>
  <c r="Q18" i="1"/>
  <c r="Q17" i="1"/>
  <c r="Q20" i="1"/>
  <c r="Q22" i="1"/>
  <c r="Q24" i="1"/>
  <c r="Q12" i="1"/>
  <c r="S12" i="1"/>
  <c r="Q13" i="1"/>
  <c r="Q15" i="1"/>
  <c r="Q16" i="1"/>
  <c r="Q19" i="1"/>
  <c r="Q21" i="1"/>
  <c r="Q23" i="1"/>
  <c r="O37" i="4"/>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<sst xmlns="http://schemas.openxmlformats.org/spreadsheetml/2006/main" count="780" uniqueCount="563">
  <si>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</si>
  <si>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</si>
  <si>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</si>
  <si>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</si>
  <si>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</si>
  <si>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</si>
  <si>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</si>
  <si>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</si>
  <si>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</si>
  <si>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</si>
  <si>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</si>
  <si>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</si>
  <si>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</si>
  <si>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</si>
  <si>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</si>
  <si>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</si>
  <si>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</si>
  <si>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</si>
  <si>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</si>
  <si>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</si>
  <si>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</si>
  <si>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</si>
  <si>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</si>
  <si>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</si>
  <si>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</si>
  <si>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</si>
  <si>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</si>
  <si>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</si>
  <si>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</si>
  <si>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</si>
  <si>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</si>
  <si>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</si>
  <si>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</si>
  <si>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</si>
  <si>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</si>
  <si>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</si>
  <si>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</si>
  <si>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</si>
  <si>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</si>
  <si>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</si>
  <si>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</si>
  <si>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</si>
  <si>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</si>
  <si>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</si>
  <si>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</si>
  <si>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</si>
  <si>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</si>
  <si>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</si>
  <si>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</si>
  <si>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</si>
  <si>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</si>
  <si>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</si>
  <si>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</si>
  <si>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</si>
  <si>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</si>
  <si>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</si>
  <si>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</si>
  <si>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</si>
  <si>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</si>
  <si>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</si>
  <si>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</si>
  <si>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</si>
  <si>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</si>
  <si>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</si>
  <si>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</si>
  <si>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</si>
  <si>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</si>
  <si>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</si>
  <si>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</si>
  <si>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</si>
  <si>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</si>
  <si>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</si>
  <si>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</si>
  <si>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</si>
  <si>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</si>
  <si>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</si>
  <si>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</si>
  <si>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</si>
  <si>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</si>
  <si>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</si>
  <si>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</si>
  <si>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</si>
  <si>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</si>
  <si>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</si>
  <si>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</si>
  <si>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</si>
  <si>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</si>
  <si>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</si>
  <si>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</si>
  <si>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</si>
  <si>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</si>
  <si>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</si>
  <si>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</si>
  <si>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</si>
  <si>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</si>
  <si>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</si>
  <si>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</si>
  <si>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</si>
  <si>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</si>
  <si>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</si>
  <si>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</si>
  <si>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</si>
  <si>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</si>
  <si>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</si>
  <si>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</si>
  <si>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</si>
  <si>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</si>
  <si>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</si>
  <si>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</si>
  <si>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</si>
  <si>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</si>
  <si>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</si>
  <si>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</si>
  <si>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</si>
  <si>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</si>
  <si>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</si>
  <si>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</si>
  <si>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</si>
  <si>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</si>
  <si>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</si>
  <si>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</si>
  <si>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</si>
  <si>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</si>
  <si>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</si>
  <si>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</si>
  <si>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</si>
  <si>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</si>
  <si>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</si>
  <si>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</si>
  <si>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</si>
  <si>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</si>
  <si>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</si>
  <si>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</si>
  <si>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</si>
  <si>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</si>
  <si>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</si>
  <si>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</si>
  <si>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</si>
  <si>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</si>
  <si>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</si>
  <si>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</si>
  <si>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</si>
  <si>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</si>
  <si>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</si>
  <si>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</si>
  <si>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</si>
  <si>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</si>
  <si>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</si>
  <si>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</si>
  <si>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</si>
  <si>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</si>
  <si>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</si>
  <si>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</si>
  <si>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</si>
  <si>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</si>
  <si>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</si>
  <si>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</si>
  <si>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</si>
  <si>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</si>
  <si>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</si>
  <si>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</si>
  <si>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</si>
  <si>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</si>
  <si>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</si>
  <si>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</si>
  <si>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</si>
  <si>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</si>
  <si>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</si>
  <si>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</si>
  <si>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</si>
  <si>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</si>
  <si>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</si>
  <si>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</si>
  <si>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</si>
  <si>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</si>
  <si>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</si>
  <si>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</si>
  <si>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</si>
  <si>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</si>
  <si>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</si>
  <si>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</si>
  <si>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</si>
  <si>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</si>
  <si>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</si>
  <si>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</si>
  <si>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</si>
  <si>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</si>
  <si>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</si>
  <si>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</si>
  <si>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</si>
  <si>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</si>
  <si>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</si>
  <si>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</si>
  <si>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</si>
  <si>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</si>
  <si>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</si>
  <si>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</si>
  <si>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</si>
  <si>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</si>
  <si>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</si>
  <si>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</si>
  <si>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</si>
  <si>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</si>
  <si>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</si>
  <si>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</si>
  <si>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</si>
  <si>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</si>
  <si>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</si>
  <si>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</si>
  <si>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</si>
  <si>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</si>
  <si>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</si>
  <si>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</si>
  <si>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</si>
  <si>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</si>
  <si>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</si>
  <si>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</si>
  <si>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</si>
  <si>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</si>
  <si>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</si>
  <si>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</si>
  <si>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</si>
  <si>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</si>
  <si>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</si>
  <si>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</si>
  <si>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</si>
  <si>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</si>
  <si>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</si>
  <si>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</si>
  <si>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</si>
  <si>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</si>
  <si>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</si>
  <si>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</si>
  <si>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</si>
  <si>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</si>
  <si>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</si>
  <si>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</si>
  <si>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</si>
  <si>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</si>
  <si>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</si>
  <si>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</si>
  <si>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</si>
  <si>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</si>
  <si>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</si>
  <si>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</si>
  <si>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</si>
  <si>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</si>
  <si>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</si>
  <si>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</si>
  <si>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</si>
  <si>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</si>
  <si>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</si>
  <si>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</si>
  <si>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</si>
  <si>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</si>
  <si>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</si>
  <si>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</si>
  <si>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</si>
  <si>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</si>
  <si>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</si>
  <si>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</si>
  <si>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</si>
  <si>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</si>
  <si>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</si>
  <si>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</si>
  <si>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</si>
  <si>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</si>
  <si>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</si>
  <si>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</si>
  <si>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</si>
  <si>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</si>
  <si>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</si>
  <si>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</si>
  <si>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</si>
  <si>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</si>
  <si>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</si>
  <si>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</si>
  <si>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</si>
  <si>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</si>
  <si>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</si>
  <si>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</si>
  <si>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</si>
  <si>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</si>
  <si>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</si>
  <si>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</si>
  <si>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</si>
  <si>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</si>
  <si>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</si>
  <si>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</si>
  <si>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</si>
  <si>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</si>
  <si>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</si>
  <si>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</si>
  <si>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</si>
  <si>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</si>
  <si>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</si>
  <si>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</si>
  <si>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</si>
  <si>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</si>
  <si>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</si>
  <si>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</si>
  <si>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</si>
  <si>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</si>
  <si>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</si>
  <si>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</si>
  <si>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</si>
  <si>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</si>
  <si>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</si>
  <si>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</si>
  <si>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</si>
  <si>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</si>
  <si>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</si>
  <si>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</si>
  <si>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</si>
  <si>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</si>
  <si>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</si>
  <si>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</si>
  <si>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</si>
  <si>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</si>
  <si>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</si>
  <si>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</si>
  <si>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</si>
  <si>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</si>
  <si>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</si>
  <si>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</si>
  <si>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</si>
  <si>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</si>
  <si>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</si>
  <si>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</si>
  <si>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</si>
  <si>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</si>
  <si>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</si>
  <si>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</si>
  <si>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</si>
  <si>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</si>
  <si>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</si>
  <si>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</si>
  <si>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</si>
  <si>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</si>
  <si>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</si>
  <si>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</si>
  <si>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</si>
  <si>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</si>
  <si>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</si>
  <si>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</si>
  <si>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</si>
  <si>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</si>
  <si>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</si>
  <si>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</si>
  <si>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</si>
  <si>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</si>
  <si>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</si>
  <si>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</si>
  <si>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</si>
  <si>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</si>
  <si>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</si>
  <si>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</si>
  <si>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</si>
  <si>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</si>
  <si>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</si>
  <si>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</si>
  <si>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</si>
  <si>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</si>
  <si>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</si>
  <si>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</si>
  <si>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</si>
  <si>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</si>
  <si>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</si>
  <si>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</si>
  <si>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</si>
  <si>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</si>
  <si>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</si>
  <si>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</si>
  <si>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</si>
  <si>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</si>
  <si>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</si>
  <si>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</si>
  <si>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</si>
  <si>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</si>
  <si>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</si>
  <si>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</si>
  <si>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</si>
  <si>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</si>
  <si>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</si>
  <si>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</si>
  <si>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</si>
  <si>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</si>
  <si>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</si>
  <si>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</si>
  <si>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</si>
  <si>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</si>
  <si>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</si>
  <si>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</si>
  <si>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</si>
  <si>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</si>
  <si>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</si>
  <si>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</si>
  <si>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</si>
  <si>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</si>
  <si>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</si>
  <si>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</si>
  <si>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</si>
  <si>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</si>
  <si>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</si>
  <si>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</si>
  <si>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</si>
  <si>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</si>
  <si>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</si>
  <si>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</si>
  <si>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</si>
  <si>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</si>
  <si>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</si>
  <si>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</si>
  <si>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</si>
  <si>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</si>
  <si>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</si>
  <si>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</si>
  <si>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</si>
  <si>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</si>
  <si>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</si>
  <si>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</si>
  <si>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</si>
  <si>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</si>
  <si>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</si>
  <si>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</si>
  <si>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</si>
  <si>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</si>
  <si>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</si>
  <si>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</si>
  <si>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</si>
  <si>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</si>
  <si>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</si>
  <si>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</si>
  <si>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</si>
  <si>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</si>
  <si>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</si>
  <si>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</si>
  <si>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</si>
  <si>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</si>
  <si>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</si>
  <si>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</si>
  <si>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</si>
  <si>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</si>
  <si>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</si>
  <si>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</si>
  <si>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</si>
  <si>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</si>
  <si>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</si>
  <si>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</si>
  <si>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</si>
  <si>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</si>
  <si>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</si>
  <si>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</si>
  <si>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</si>
  <si>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</si>
  <si>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</si>
  <si>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</si>
  <si>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</si>
  <si>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</si>
  <si>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</si>
  <si>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</si>
  <si>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</si>
  <si>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</si>
  <si>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</si>
  <si>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</si>
  <si>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</si>
  <si>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</si>
  <si>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</si>
  <si>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</si>
  <si>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</si>
  <si>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</si>
  <si>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</si>
  <si>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</si>
  <si>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</si>
  <si>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</si>
  <si>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</si>
  <si>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</si>
  <si>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</si>
  <si>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</si>
  <si>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</si>
  <si>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</si>
  <si>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</si>
  <si>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</si>
  <si>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</si>
  <si>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</si>
  <si>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</si>
  <si>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</si>
  <si>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</si>
  <si>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</si>
  <si>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</si>
  <si>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</si>
  <si>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</si>
  <si>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</si>
  <si>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</si>
  <si>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</si>
  <si>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</si>
  <si>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</si>
  <si>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</si>
  <si>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</si>
  <si>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</si>
  <si>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</si>
  <si>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</si>
  <si>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</si>
  <si>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</si>
  <si>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</si>
  <si>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</si>
  <si>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</si>
  <si>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</si>
  <si>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</si>
  <si>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</si>
  <si>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</si>
  <si>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</si>
  <si>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</si>
  <si>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</si>
  <si>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</si>
  <si>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</si>
  <si>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</si>
  <si>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</si>
  <si>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</si>
  <si>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</si>
  <si>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</si>
  <si>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</si>
  <si>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</si>
  <si>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</si>
  <si>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</si>
  <si>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</si>
  <si>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</si>
  <si>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</si>
  <si>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</si>
  <si>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</si>
  <si>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</si>
  <si>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</si>
  <si>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</si>
  <si>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</si>
  <si>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</si>
  <si>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</si>
  <si>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</si>
  <si>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</si>
  <si>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</si>
  <si>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</si>
  <si>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</si>
  <si>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</si>
  <si>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</si>
  <si>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</si>
  <si>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</si>
  <si>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</si>
  <si>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</si>
  <si>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</si>
  <si>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</si>
  <si>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</si>
  <si>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</si>
  <si>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</si>
  <si>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</si>
  <si>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</si>
  <si>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</si>
  <si>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</si>
  <si>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</si>
  <si>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</si>
  <si>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</si>
  <si>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</si>
  <si>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63,944 (July 1, 2019)</t>
  </si>
  <si>
    <t># Zoning permit inspections</t>
  </si>
  <si>
    <t>#Zoning violation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</si>
</sst>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2"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sz val="25"/>
      <name val="Times New Roman"/>
      <family val="1"/>
    </font>
    <font>
      <u/>
      <sz val="10"/>
      <name val="Arial"/>
      <family val="2"/>
    </font>
    <font>
      <b/>
      <sz val="30"/>
      <name val="Cambria"/>
      <family val="1"/>
      <scheme val="major"/>
    </font>
    <font>
      <b/>
      <sz val="25"/>
      <name val="Cambria"/>
      <family val="1"/>
      <scheme val="major"/>
    </font>
    <font>
      <sz val="25"/>
      <name val="Cambria"/>
      <family val="1"/>
      <scheme val="major"/>
    </font>
    <font>
      <b/>
      <sz val="12"/>
      <color theme="0"/>
      <name val="Cambria"/>
      <family val="1"/>
      <scheme val="major"/>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002060"/>
        <bgColor indexed="64"/>
      </patternFill>
    </fill>
    <fill>
      <patternFill patternType="solid">
        <fgColor theme="0" tint="-0.14996795556505021"/>
        <bgColor indexed="64"/>
      </patternFill>
    </fill>
    <fill>
      <patternFill patternType="solid">
        <fgColor rgb="FF66FF66"/>
        <bgColor indexed="64"/>
      </patternFill>
    </fill>
    <fill>
      <patternFill patternType="solid">
        <fgColor theme="0" tint="-0.14999847407452621"/>
        <bgColor indexed="64"/>
      </patternFill>
    </fill>
  </fills>
  <borders count="20">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rgb="FF0099FF"/>
      </bottom>
      <diagonal/>
    </border>
  </borders>
  <cellStyleXfs count="1">
    <xf numFmtId="0" fontId="0" fillId="0" borderId="0"/>
  </cellStyleXfs>
  <cellXfs count="137">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13" xfId="0" applyFont="1" applyFill="1" applyBorder="1"/>
    <xf numFmtId="0" fontId="0" fillId="5" borderId="2" xfId="0" applyFill="1" applyBorder="1"/>
    <xf numFmtId="0" fontId="0" fillId="5" borderId="14" xfId="0" applyFill="1" applyBorder="1"/>
    <xf numFmtId="0" fontId="0" fillId="5" borderId="1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15" xfId="0" applyNumberFormat="1" applyFill="1" applyBorder="1"/>
    <xf numFmtId="3" fontId="1" fillId="5" borderId="15" xfId="0" applyNumberFormat="1" applyFont="1" applyFill="1" applyBorder="1"/>
    <xf numFmtId="0" fontId="13" fillId="5" borderId="15" xfId="0" applyFont="1" applyFill="1" applyBorder="1"/>
    <xf numFmtId="0" fontId="0" fillId="5" borderId="16" xfId="0" applyFill="1" applyBorder="1"/>
    <xf numFmtId="0" fontId="0" fillId="5" borderId="17" xfId="0" applyFill="1" applyBorder="1"/>
    <xf numFmtId="0" fontId="0" fillId="5" borderId="1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27" fillId="5" borderId="0" xfId="0" applyFont="1" applyFill="1" applyBorder="1" applyAlignment="1">
      <alignment horizontal="center"/>
    </xf>
    <xf numFmtId="0" fontId="27" fillId="5" borderId="1" xfId="0" applyFont="1" applyFill="1" applyBorder="1" applyAlignment="1">
      <alignment horizontal="center"/>
    </xf>
    <xf numFmtId="0" fontId="1" fillId="3" borderId="0" xfId="0" applyFont="1" applyFill="1"/>
    <xf numFmtId="0" fontId="0" fillId="3" borderId="0" xfId="0" applyFill="1"/>
    <xf numFmtId="0" fontId="27"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26" fillId="6" borderId="0" xfId="0" applyFont="1" applyFill="1" applyAlignment="1">
      <alignment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3" fillId="6" borderId="3" xfId="0" applyFont="1" applyFill="1" applyBorder="1" applyAlignment="1">
      <alignment vertical="top"/>
    </xf>
    <xf numFmtId="0" fontId="23" fillId="6" borderId="4" xfId="0" applyFont="1" applyFill="1" applyBorder="1" applyAlignment="1">
      <alignment vertical="top"/>
    </xf>
    <xf numFmtId="0" fontId="24" fillId="6" borderId="4" xfId="0" applyFont="1" applyFill="1" applyBorder="1" applyAlignment="1">
      <alignment vertical="top"/>
    </xf>
    <xf numFmtId="0" fontId="24" fillId="6" borderId="5" xfId="0" applyFont="1" applyFill="1" applyBorder="1" applyAlignment="1">
      <alignment vertical="top"/>
    </xf>
    <xf numFmtId="0" fontId="24" fillId="6" borderId="6" xfId="0" applyFont="1" applyFill="1" applyBorder="1" applyAlignment="1">
      <alignment vertical="top"/>
    </xf>
    <xf numFmtId="0" fontId="24" fillId="6" borderId="7" xfId="0" applyFont="1" applyFill="1" applyBorder="1" applyAlignment="1">
      <alignment vertical="top"/>
    </xf>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5" fillId="6" borderId="8"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9" fontId="23" fillId="6" borderId="9" xfId="0" applyNumberFormat="1" applyFont="1" applyFill="1" applyBorder="1" applyAlignment="1">
      <alignment horizontal="center"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31" fillId="7" borderId="0" xfId="0" applyFont="1" applyFill="1" applyBorder="1" applyAlignment="1" applyProtection="1">
      <alignment vertical="top"/>
      <protection locked="0"/>
    </xf>
    <xf numFmtId="0" fontId="31" fillId="7" borderId="0" xfId="0" applyFont="1" applyFill="1" applyAlignment="1">
      <alignment vertical="top"/>
    </xf>
    <xf numFmtId="0" fontId="20" fillId="7" borderId="0" xfId="0" applyFont="1" applyFill="1" applyAlignment="1">
      <alignment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1" fillId="0" borderId="0" xfId="0" applyFont="1" applyFill="1"/>
    <xf numFmtId="9" fontId="23" fillId="8" borderId="0" xfId="0" applyNumberFormat="1" applyFont="1" applyFill="1" applyBorder="1" applyAlignment="1">
      <alignment horizontal="center" vertical="top"/>
    </xf>
    <xf numFmtId="9" fontId="23" fillId="8" borderId="11" xfId="0" applyNumberFormat="1" applyFont="1" applyFill="1" applyBorder="1" applyAlignment="1">
      <alignment horizontal="center" vertical="top"/>
    </xf>
    <xf numFmtId="0" fontId="0" fillId="9" borderId="0" xfId="0" applyFill="1" applyAlignment="1">
      <alignment horizontal="center"/>
    </xf>
    <xf numFmtId="0" fontId="23" fillId="10" borderId="0" xfId="0" applyFont="1" applyFill="1" applyBorder="1" applyAlignment="1">
      <alignment horizontal="center" vertical="top"/>
    </xf>
    <xf numFmtId="0" fontId="23" fillId="8" borderId="19" xfId="0" applyFont="1" applyFill="1" applyBorder="1" applyAlignment="1">
      <alignment horizontal="center" vertical="top"/>
    </xf>
    <xf numFmtId="9" fontId="23" fillId="6" borderId="0" xfId="0" applyNumberFormat="1" applyFont="1" applyFill="1" applyBorder="1" applyAlignment="1">
      <alignment horizontal="center" vertical="top"/>
    </xf>
    <xf numFmtId="20" fontId="0" fillId="0" borderId="0" xfId="0" applyNumberFormat="1" applyAlignment="1">
      <alignment horizontal="center"/>
    </xf>
    <xf numFmtId="166" fontId="0" fillId="3" borderId="0" xfId="0" applyNumberFormat="1" applyFill="1" applyAlignment="1">
      <alignment horizontal="center"/>
    </xf>
    <xf numFmtId="0" fontId="23" fillId="6" borderId="7" xfId="0" applyNumberFormat="1" applyFont="1" applyFill="1" applyBorder="1" applyAlignment="1">
      <alignment vertical="top"/>
    </xf>
    <xf numFmtId="0" fontId="23" fillId="6" borderId="0" xfId="0" applyNumberFormat="1" applyFont="1" applyFill="1" applyBorder="1" applyAlignment="1">
      <alignment vertical="top"/>
    </xf>
    <xf numFmtId="0" fontId="23" fillId="8" borderId="10" xfId="0" applyNumberFormat="1" applyFont="1" applyFill="1" applyBorder="1" applyAlignment="1">
      <alignment vertical="top"/>
    </xf>
    <xf numFmtId="0" fontId="23" fillId="8" borderId="11" xfId="0" applyNumberFormat="1" applyFont="1" applyFill="1" applyBorder="1" applyAlignment="1">
      <alignment vertical="top"/>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31" fillId="7"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99FF"/>
      <color rgb="FF368ED6"/>
      <color rgb="FF66FF6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297180</xdr:colOff>
      <xdr:row>0</xdr:row>
      <xdr:rowOff>121920</xdr:rowOff>
    </xdr:from>
    <xdr:to>
      <xdr:col>17</xdr:col>
      <xdr:colOff>609600</xdr:colOff>
      <xdr:row>3</xdr:row>
      <xdr:rowOff>22538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4560" y="121920"/>
          <a:ext cx="1706880" cy="87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B43" sqref="B43"/>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267</v>
      </c>
      <c r="N1" s="4" t="s">
        <v>268</v>
      </c>
      <c r="O1" s="4" t="s">
        <v>269</v>
      </c>
    </row>
    <row r="2" spans="1:15" s="11" customFormat="1" x14ac:dyDescent="0.25">
      <c r="A2" s="6">
        <v>1</v>
      </c>
      <c r="B2" s="19" t="s">
        <v>221</v>
      </c>
      <c r="C2" s="44" t="s">
        <v>236</v>
      </c>
      <c r="D2" s="45" t="s">
        <v>241</v>
      </c>
      <c r="E2" s="35" t="s">
        <v>242</v>
      </c>
      <c r="F2" s="45" t="s">
        <v>237</v>
      </c>
      <c r="G2" s="45" t="s">
        <v>500</v>
      </c>
      <c r="H2" s="35"/>
      <c r="I2" s="35"/>
      <c r="J2" s="35"/>
      <c r="K2" s="35"/>
      <c r="L2" s="35"/>
      <c r="M2" s="35"/>
    </row>
    <row r="3" spans="1:15" x14ac:dyDescent="0.25">
      <c r="A3" s="5">
        <v>2</v>
      </c>
      <c r="B3" s="20" t="s">
        <v>4</v>
      </c>
      <c r="C3" s="35" t="s">
        <v>243</v>
      </c>
      <c r="D3" s="35" t="s">
        <v>246</v>
      </c>
      <c r="E3" s="35" t="s">
        <v>247</v>
      </c>
      <c r="F3" s="35" t="s">
        <v>244</v>
      </c>
      <c r="G3" s="35" t="s">
        <v>472</v>
      </c>
      <c r="H3" s="35" t="s">
        <v>245</v>
      </c>
      <c r="I3" s="35" t="s">
        <v>473</v>
      </c>
      <c r="J3" s="35" t="s">
        <v>474</v>
      </c>
      <c r="K3" s="35"/>
      <c r="L3" s="35"/>
      <c r="M3" s="35"/>
    </row>
    <row r="4" spans="1:15" x14ac:dyDescent="0.25">
      <c r="A4" s="5">
        <v>3</v>
      </c>
      <c r="B4" s="34" t="s">
        <v>235</v>
      </c>
      <c r="C4" s="46" t="s">
        <v>71</v>
      </c>
      <c r="D4" s="46" t="s">
        <v>459</v>
      </c>
      <c r="E4" s="46" t="s">
        <v>70</v>
      </c>
      <c r="F4" s="35" t="s">
        <v>270</v>
      </c>
      <c r="G4" s="47" t="s">
        <v>466</v>
      </c>
      <c r="H4" s="47" t="s">
        <v>325</v>
      </c>
      <c r="I4" s="47" t="s">
        <v>530</v>
      </c>
      <c r="J4" s="35" t="s">
        <v>531</v>
      </c>
      <c r="K4" s="35"/>
      <c r="L4" s="35"/>
      <c r="M4" s="35"/>
    </row>
    <row r="5" spans="1:15" x14ac:dyDescent="0.25">
      <c r="A5" s="5">
        <f>SUM(A4+1)</f>
        <v>4</v>
      </c>
      <c r="B5" s="21" t="s">
        <v>5</v>
      </c>
      <c r="C5" s="46" t="s">
        <v>23</v>
      </c>
      <c r="D5" s="46" t="s">
        <v>366</v>
      </c>
      <c r="E5" s="46" t="s">
        <v>367</v>
      </c>
      <c r="F5" s="46" t="s">
        <v>368</v>
      </c>
      <c r="G5" s="46" t="s">
        <v>24</v>
      </c>
      <c r="H5" s="46" t="s">
        <v>48</v>
      </c>
      <c r="I5" s="46" t="s">
        <v>369</v>
      </c>
      <c r="J5" s="46" t="s">
        <v>370</v>
      </c>
      <c r="K5" s="46"/>
      <c r="L5" s="46"/>
      <c r="M5" s="35"/>
    </row>
    <row r="6" spans="1:15" x14ac:dyDescent="0.25">
      <c r="A6" s="5">
        <v>5</v>
      </c>
      <c r="B6" s="21" t="s">
        <v>422</v>
      </c>
      <c r="C6" s="35" t="s">
        <v>423</v>
      </c>
      <c r="D6" s="35" t="s">
        <v>424</v>
      </c>
      <c r="E6" s="46" t="s">
        <v>425</v>
      </c>
      <c r="F6" s="47" t="s">
        <v>426</v>
      </c>
      <c r="G6" s="47" t="s">
        <v>427</v>
      </c>
      <c r="H6" s="35"/>
      <c r="I6" s="35"/>
      <c r="J6" s="46"/>
      <c r="K6" s="46"/>
      <c r="L6" s="46"/>
      <c r="M6" s="35"/>
    </row>
    <row r="7" spans="1:15" x14ac:dyDescent="0.25">
      <c r="A7" s="5">
        <v>6</v>
      </c>
      <c r="B7" s="53" t="s">
        <v>480</v>
      </c>
      <c r="C7" s="46" t="s">
        <v>476</v>
      </c>
      <c r="D7" s="46" t="s">
        <v>487</v>
      </c>
      <c r="E7" s="46" t="s">
        <v>477</v>
      </c>
      <c r="F7" s="46" t="s">
        <v>478</v>
      </c>
      <c r="G7" s="46" t="s">
        <v>521</v>
      </c>
      <c r="H7" s="47" t="s">
        <v>486</v>
      </c>
      <c r="I7" s="46" t="s">
        <v>482</v>
      </c>
      <c r="J7" s="46" t="s">
        <v>483</v>
      </c>
      <c r="K7" s="46" t="s">
        <v>492</v>
      </c>
      <c r="M7" s="35"/>
    </row>
    <row r="8" spans="1:15" x14ac:dyDescent="0.25">
      <c r="A8" s="5">
        <v>7</v>
      </c>
      <c r="B8" s="21" t="s">
        <v>234</v>
      </c>
      <c r="C8" s="46" t="s">
        <v>26</v>
      </c>
      <c r="D8" s="46" t="s">
        <v>250</v>
      </c>
      <c r="E8" s="46" t="s">
        <v>519</v>
      </c>
      <c r="F8" s="47" t="s">
        <v>189</v>
      </c>
      <c r="G8" s="47" t="s">
        <v>251</v>
      </c>
      <c r="H8" s="47" t="s">
        <v>406</v>
      </c>
      <c r="I8" s="47" t="s">
        <v>407</v>
      </c>
      <c r="J8" s="35"/>
      <c r="K8" s="35"/>
      <c r="L8" s="35"/>
      <c r="M8" s="35"/>
    </row>
    <row r="9" spans="1:15" x14ac:dyDescent="0.25">
      <c r="A9" s="5">
        <f t="shared" ref="A9:A30" si="0">SUM((A8+1))</f>
        <v>8</v>
      </c>
      <c r="B9" s="23" t="s">
        <v>25</v>
      </c>
      <c r="C9" s="46" t="s">
        <v>32</v>
      </c>
      <c r="D9" s="46" t="s">
        <v>62</v>
      </c>
      <c r="E9" s="46" t="s">
        <v>122</v>
      </c>
      <c r="F9" s="46" t="s">
        <v>63</v>
      </c>
      <c r="G9" s="46" t="s">
        <v>372</v>
      </c>
      <c r="H9" s="47" t="s">
        <v>350</v>
      </c>
      <c r="I9" s="47" t="s">
        <v>351</v>
      </c>
      <c r="J9" s="47" t="s">
        <v>352</v>
      </c>
      <c r="K9" s="47" t="s">
        <v>353</v>
      </c>
      <c r="L9" s="47" t="s">
        <v>354</v>
      </c>
      <c r="M9" s="47" t="s">
        <v>355</v>
      </c>
      <c r="N9" s="8" t="s">
        <v>484</v>
      </c>
      <c r="O9" s="8" t="s">
        <v>496</v>
      </c>
    </row>
    <row r="10" spans="1:15" x14ac:dyDescent="0.25">
      <c r="A10" s="5">
        <f t="shared" si="0"/>
        <v>9</v>
      </c>
      <c r="B10" s="24" t="s">
        <v>69</v>
      </c>
      <c r="C10" s="46" t="s">
        <v>437</v>
      </c>
      <c r="D10" s="46" t="s">
        <v>271</v>
      </c>
      <c r="E10" s="47" t="s">
        <v>272</v>
      </c>
      <c r="F10" s="47" t="s">
        <v>273</v>
      </c>
      <c r="G10" s="47" t="s">
        <v>274</v>
      </c>
      <c r="H10" s="47" t="s">
        <v>275</v>
      </c>
      <c r="I10" s="47" t="s">
        <v>276</v>
      </c>
      <c r="J10" s="47" t="s">
        <v>277</v>
      </c>
      <c r="K10" s="47" t="s">
        <v>278</v>
      </c>
      <c r="L10" s="47" t="s">
        <v>279</v>
      </c>
      <c r="M10" s="35"/>
    </row>
    <row r="11" spans="1:15" x14ac:dyDescent="0.25">
      <c r="A11" s="5">
        <f t="shared" si="0"/>
        <v>10</v>
      </c>
      <c r="B11" s="20" t="s">
        <v>227</v>
      </c>
      <c r="C11" s="35" t="s">
        <v>47</v>
      </c>
      <c r="D11" s="35" t="s">
        <v>101</v>
      </c>
      <c r="E11" s="47" t="s">
        <v>255</v>
      </c>
      <c r="F11" s="47" t="s">
        <v>494</v>
      </c>
      <c r="G11" s="35"/>
      <c r="H11" s="35"/>
      <c r="I11" s="35"/>
      <c r="J11" s="35"/>
      <c r="K11" s="35"/>
      <c r="L11" s="35"/>
      <c r="M11" s="35"/>
    </row>
    <row r="12" spans="1:15" x14ac:dyDescent="0.25">
      <c r="A12" s="5">
        <f t="shared" si="0"/>
        <v>11</v>
      </c>
      <c r="B12" s="21" t="s">
        <v>6</v>
      </c>
      <c r="C12" s="46" t="s">
        <v>316</v>
      </c>
      <c r="D12" s="46" t="s">
        <v>317</v>
      </c>
      <c r="E12" s="46" t="s">
        <v>72</v>
      </c>
      <c r="F12" s="47" t="s">
        <v>51</v>
      </c>
      <c r="G12" s="46" t="s">
        <v>421</v>
      </c>
      <c r="H12" s="46" t="s">
        <v>318</v>
      </c>
      <c r="I12" s="46" t="s">
        <v>319</v>
      </c>
      <c r="J12" s="46" t="s">
        <v>320</v>
      </c>
      <c r="K12" s="35" t="s">
        <v>321</v>
      </c>
      <c r="L12" s="35" t="s">
        <v>322</v>
      </c>
      <c r="M12" s="35" t="s">
        <v>323</v>
      </c>
      <c r="N12" s="11" t="s">
        <v>401</v>
      </c>
      <c r="O12" s="11" t="s">
        <v>324</v>
      </c>
    </row>
    <row r="13" spans="1:15" x14ac:dyDescent="0.25">
      <c r="A13" s="5">
        <f t="shared" si="0"/>
        <v>12</v>
      </c>
      <c r="B13" s="21" t="s">
        <v>428</v>
      </c>
      <c r="C13" s="35" t="s">
        <v>432</v>
      </c>
      <c r="D13" s="35" t="s">
        <v>442</v>
      </c>
      <c r="E13" s="35" t="s">
        <v>433</v>
      </c>
      <c r="F13" s="46" t="s">
        <v>429</v>
      </c>
      <c r="G13" s="47" t="s">
        <v>430</v>
      </c>
      <c r="H13" s="47" t="s">
        <v>431</v>
      </c>
      <c r="I13" s="47" t="s">
        <v>497</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475</v>
      </c>
      <c r="I14" s="35" t="s">
        <v>78</v>
      </c>
      <c r="J14" s="35" t="s">
        <v>79</v>
      </c>
      <c r="K14" s="35" t="s">
        <v>331</v>
      </c>
      <c r="L14" s="35" t="s">
        <v>80</v>
      </c>
      <c r="M14" s="35" t="s">
        <v>238</v>
      </c>
    </row>
    <row r="15" spans="1:15" x14ac:dyDescent="0.25">
      <c r="A15" s="5">
        <f t="shared" si="0"/>
        <v>14</v>
      </c>
      <c r="B15" s="20" t="s">
        <v>230</v>
      </c>
      <c r="C15" s="46" t="s">
        <v>65</v>
      </c>
      <c r="D15" s="46" t="s">
        <v>66</v>
      </c>
      <c r="E15" s="46" t="s">
        <v>266</v>
      </c>
      <c r="F15" s="46" t="s">
        <v>522</v>
      </c>
      <c r="G15" s="46"/>
      <c r="H15" s="46"/>
      <c r="I15" s="46"/>
      <c r="J15" s="35"/>
      <c r="K15" s="35"/>
      <c r="L15" s="35"/>
      <c r="M15" s="35"/>
    </row>
    <row r="16" spans="1:15" x14ac:dyDescent="0.25">
      <c r="A16" s="5">
        <f t="shared" si="0"/>
        <v>15</v>
      </c>
      <c r="B16" s="21" t="s">
        <v>7</v>
      </c>
      <c r="C16" s="46" t="s">
        <v>39</v>
      </c>
      <c r="D16" s="46" t="s">
        <v>40</v>
      </c>
      <c r="E16" s="46" t="s">
        <v>27</v>
      </c>
      <c r="F16" s="46" t="s">
        <v>86</v>
      </c>
      <c r="G16" s="46" t="s">
        <v>28</v>
      </c>
      <c r="H16" s="46" t="s">
        <v>396</v>
      </c>
      <c r="I16" s="46"/>
      <c r="J16" s="35"/>
      <c r="K16" s="35"/>
      <c r="L16" s="35"/>
      <c r="M16" s="35"/>
    </row>
    <row r="17" spans="1:17" x14ac:dyDescent="0.25">
      <c r="A17" s="5">
        <f t="shared" si="0"/>
        <v>16</v>
      </c>
      <c r="B17" s="20" t="s">
        <v>8</v>
      </c>
      <c r="C17" s="46" t="s">
        <v>239</v>
      </c>
      <c r="D17" s="46" t="s">
        <v>52</v>
      </c>
      <c r="E17" s="46" t="s">
        <v>382</v>
      </c>
      <c r="F17" s="46" t="s">
        <v>53</v>
      </c>
      <c r="G17" s="46" t="s">
        <v>54</v>
      </c>
      <c r="H17" s="46" t="s">
        <v>256</v>
      </c>
      <c r="I17" s="46" t="s">
        <v>257</v>
      </c>
      <c r="J17" s="46" t="s">
        <v>258</v>
      </c>
      <c r="K17" s="46" t="s">
        <v>259</v>
      </c>
      <c r="L17" s="46" t="s">
        <v>523</v>
      </c>
      <c r="M17" s="46" t="s">
        <v>524</v>
      </c>
      <c r="N17" s="46" t="s">
        <v>525</v>
      </c>
      <c r="O17" s="46" t="s">
        <v>526</v>
      </c>
      <c r="P17" s="35"/>
      <c r="Q17" s="35"/>
    </row>
    <row r="18" spans="1:17" x14ac:dyDescent="0.25">
      <c r="A18" s="5">
        <f t="shared" si="0"/>
        <v>17</v>
      </c>
      <c r="B18" s="21" t="s">
        <v>481</v>
      </c>
      <c r="C18" s="46" t="s">
        <v>123</v>
      </c>
      <c r="D18" s="46" t="s">
        <v>124</v>
      </c>
      <c r="E18" s="46" t="s">
        <v>385</v>
      </c>
      <c r="F18" s="46" t="s">
        <v>248</v>
      </c>
      <c r="G18" s="46" t="s">
        <v>125</v>
      </c>
      <c r="H18" s="46" t="s">
        <v>126</v>
      </c>
      <c r="I18" s="46" t="s">
        <v>240</v>
      </c>
      <c r="J18" s="46" t="s">
        <v>562</v>
      </c>
      <c r="K18" s="46" t="s">
        <v>249</v>
      </c>
      <c r="L18" s="46" t="s">
        <v>561</v>
      </c>
      <c r="M18" s="46" t="s">
        <v>392</v>
      </c>
    </row>
    <row r="19" spans="1:17" x14ac:dyDescent="0.25">
      <c r="A19" s="5">
        <f t="shared" si="0"/>
        <v>18</v>
      </c>
      <c r="B19" s="21" t="s">
        <v>9</v>
      </c>
      <c r="C19" s="46" t="s">
        <v>373</v>
      </c>
      <c r="D19" s="46" t="s">
        <v>374</v>
      </c>
      <c r="E19" s="46" t="s">
        <v>55</v>
      </c>
      <c r="F19" s="46" t="s">
        <v>56</v>
      </c>
      <c r="G19" s="47" t="s">
        <v>393</v>
      </c>
      <c r="H19" s="47" t="s">
        <v>376</v>
      </c>
      <c r="I19" s="47" t="s">
        <v>398</v>
      </c>
      <c r="J19" s="35" t="s">
        <v>491</v>
      </c>
      <c r="K19" s="35"/>
      <c r="L19" s="35"/>
      <c r="M19" s="35"/>
    </row>
    <row r="20" spans="1:17" x14ac:dyDescent="0.25">
      <c r="A20" s="5">
        <f t="shared" si="0"/>
        <v>19</v>
      </c>
      <c r="B20" s="23" t="s">
        <v>61</v>
      </c>
      <c r="C20" s="46" t="s">
        <v>394</v>
      </c>
      <c r="D20" s="46" t="s">
        <v>395</v>
      </c>
      <c r="E20" s="47"/>
      <c r="F20" s="47"/>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501</v>
      </c>
      <c r="E22" s="46" t="s">
        <v>329</v>
      </c>
      <c r="F22" s="46" t="s">
        <v>330</v>
      </c>
      <c r="G22" s="46" t="s">
        <v>326</v>
      </c>
      <c r="H22" s="46" t="s">
        <v>328</v>
      </c>
      <c r="I22" s="46" t="s">
        <v>81</v>
      </c>
      <c r="J22" s="46" t="s">
        <v>82</v>
      </c>
      <c r="K22" s="46" t="s">
        <v>83</v>
      </c>
      <c r="L22" s="46" t="s">
        <v>100</v>
      </c>
      <c r="M22" s="35"/>
    </row>
    <row r="23" spans="1:17" x14ac:dyDescent="0.25">
      <c r="A23" s="5">
        <f t="shared" si="0"/>
        <v>22</v>
      </c>
      <c r="B23" s="21" t="s">
        <v>229</v>
      </c>
      <c r="C23" s="35" t="s">
        <v>254</v>
      </c>
      <c r="D23" s="35" t="s">
        <v>252</v>
      </c>
      <c r="E23" s="35" t="s">
        <v>253</v>
      </c>
      <c r="F23" s="46" t="s">
        <v>495</v>
      </c>
      <c r="G23" s="47" t="s">
        <v>520</v>
      </c>
      <c r="H23" s="47" t="s">
        <v>49</v>
      </c>
      <c r="I23" s="47" t="s">
        <v>543</v>
      </c>
      <c r="J23" s="47" t="s">
        <v>537</v>
      </c>
      <c r="K23" s="35" t="s">
        <v>536</v>
      </c>
      <c r="L23" s="35" t="s">
        <v>544</v>
      </c>
      <c r="M23" s="35" t="s">
        <v>538</v>
      </c>
      <c r="N23" s="35" t="s">
        <v>536</v>
      </c>
    </row>
    <row r="24" spans="1:17" x14ac:dyDescent="0.25">
      <c r="A24" s="5">
        <f t="shared" si="0"/>
        <v>23</v>
      </c>
      <c r="B24" s="21" t="s">
        <v>11</v>
      </c>
      <c r="C24" s="46" t="s">
        <v>264</v>
      </c>
      <c r="D24" s="46" t="s">
        <v>265</v>
      </c>
      <c r="E24" s="46" t="s">
        <v>50</v>
      </c>
      <c r="F24" s="46" t="s">
        <v>356</v>
      </c>
      <c r="G24" s="46" t="s">
        <v>383</v>
      </c>
      <c r="H24" s="46" t="s">
        <v>467</v>
      </c>
      <c r="I24" s="46" t="s">
        <v>505</v>
      </c>
      <c r="J24" s="46" t="s">
        <v>504</v>
      </c>
      <c r="K24" s="46" t="s">
        <v>57</v>
      </c>
      <c r="L24" s="46" t="s">
        <v>58</v>
      </c>
      <c r="M24" s="46" t="s">
        <v>67</v>
      </c>
    </row>
    <row r="25" spans="1:17" x14ac:dyDescent="0.25">
      <c r="A25" s="5">
        <f t="shared" si="0"/>
        <v>24</v>
      </c>
      <c r="B25" s="21" t="s">
        <v>12</v>
      </c>
      <c r="C25" s="46" t="s">
        <v>30</v>
      </c>
      <c r="D25" s="46" t="s">
        <v>31</v>
      </c>
      <c r="E25" s="46" t="s">
        <v>29</v>
      </c>
      <c r="F25" s="46" t="s">
        <v>397</v>
      </c>
      <c r="G25" s="46" t="s">
        <v>364</v>
      </c>
      <c r="H25" s="46" t="s">
        <v>365</v>
      </c>
      <c r="I25" s="35" t="s">
        <v>502</v>
      </c>
      <c r="J25" s="35"/>
      <c r="K25" s="35"/>
      <c r="L25" s="35"/>
      <c r="M25" s="35"/>
    </row>
    <row r="26" spans="1:17" x14ac:dyDescent="0.25">
      <c r="A26" s="5">
        <f t="shared" si="0"/>
        <v>25</v>
      </c>
      <c r="B26" s="21" t="s">
        <v>13</v>
      </c>
      <c r="C26" s="46" t="s">
        <v>434</v>
      </c>
      <c r="D26" s="46" t="s">
        <v>435</v>
      </c>
      <c r="E26" s="46" t="s">
        <v>64</v>
      </c>
      <c r="F26" s="46" t="s">
        <v>405</v>
      </c>
      <c r="G26" s="46" t="s">
        <v>403</v>
      </c>
      <c r="H26" s="47" t="s">
        <v>402</v>
      </c>
      <c r="I26" s="47" t="s">
        <v>404</v>
      </c>
      <c r="J26" s="47" t="s">
        <v>436</v>
      </c>
      <c r="K26" s="47"/>
      <c r="L26" s="35"/>
      <c r="M26" s="35"/>
    </row>
    <row r="27" spans="1:17" x14ac:dyDescent="0.25">
      <c r="A27" s="5">
        <f t="shared" si="0"/>
        <v>26</v>
      </c>
      <c r="B27" s="20" t="s">
        <v>187</v>
      </c>
      <c r="C27" s="46" t="s">
        <v>188</v>
      </c>
      <c r="D27" s="46" t="s">
        <v>462</v>
      </c>
      <c r="E27" s="46" t="s">
        <v>461</v>
      </c>
      <c r="F27" s="47" t="s">
        <v>371</v>
      </c>
      <c r="G27" s="47" t="s">
        <v>384</v>
      </c>
      <c r="H27" s="47" t="s">
        <v>527</v>
      </c>
      <c r="I27" s="47" t="s">
        <v>528</v>
      </c>
      <c r="J27" s="47"/>
      <c r="K27" s="35"/>
      <c r="L27" s="35"/>
      <c r="M27" s="35"/>
    </row>
    <row r="28" spans="1:17" x14ac:dyDescent="0.25">
      <c r="A28" s="5">
        <f t="shared" si="0"/>
        <v>27</v>
      </c>
      <c r="B28" s="20" t="s">
        <v>499</v>
      </c>
      <c r="C28" s="46" t="s">
        <v>503</v>
      </c>
      <c r="D28" s="46" t="s">
        <v>508</v>
      </c>
      <c r="E28" s="46" t="s">
        <v>506</v>
      </c>
      <c r="F28" s="47" t="s">
        <v>509</v>
      </c>
      <c r="G28" s="46" t="s">
        <v>507</v>
      </c>
      <c r="H28" s="46" t="s">
        <v>510</v>
      </c>
      <c r="I28" s="46" t="s">
        <v>511</v>
      </c>
      <c r="J28" s="35" t="s">
        <v>516</v>
      </c>
      <c r="K28" s="35" t="s">
        <v>517</v>
      </c>
      <c r="L28" s="35" t="s">
        <v>512</v>
      </c>
      <c r="M28" s="35" t="s">
        <v>515</v>
      </c>
      <c r="N28" s="35" t="s">
        <v>513</v>
      </c>
      <c r="O28" s="35" t="s">
        <v>514</v>
      </c>
    </row>
    <row r="29" spans="1:17" x14ac:dyDescent="0.25">
      <c r="A29" s="5">
        <f t="shared" si="0"/>
        <v>28</v>
      </c>
      <c r="B29" s="24" t="s">
        <v>232</v>
      </c>
      <c r="C29" s="46" t="s">
        <v>260</v>
      </c>
      <c r="D29" s="46" t="s">
        <v>386</v>
      </c>
      <c r="E29" s="46" t="s">
        <v>261</v>
      </c>
      <c r="F29" s="47" t="s">
        <v>375</v>
      </c>
      <c r="G29" s="47" t="s">
        <v>263</v>
      </c>
      <c r="H29" s="47" t="s">
        <v>262</v>
      </c>
      <c r="I29" s="35" t="s">
        <v>468</v>
      </c>
      <c r="J29" s="35" t="s">
        <v>469</v>
      </c>
      <c r="K29" s="35" t="s">
        <v>460</v>
      </c>
      <c r="L29" s="35"/>
      <c r="M29" s="35"/>
    </row>
    <row r="30" spans="1:17" ht="13.8" x14ac:dyDescent="0.25">
      <c r="A30" s="5">
        <f t="shared" si="0"/>
        <v>29</v>
      </c>
      <c r="B30" s="22">
        <v>911</v>
      </c>
      <c r="C30" s="46" t="s">
        <v>60</v>
      </c>
      <c r="D30" s="46" t="s">
        <v>390</v>
      </c>
      <c r="E30" s="46" t="s">
        <v>391</v>
      </c>
      <c r="F30" s="46" t="s">
        <v>68</v>
      </c>
      <c r="G30" s="47" t="s">
        <v>59</v>
      </c>
      <c r="H30" s="46" t="s">
        <v>485</v>
      </c>
      <c r="I30" s="46"/>
      <c r="J30" s="35"/>
      <c r="K30" s="35"/>
      <c r="L30" s="48"/>
      <c r="M30" s="49"/>
      <c r="N30" s="39"/>
      <c r="O30" s="39"/>
      <c r="P30" s="39"/>
      <c r="Q30" s="39"/>
    </row>
    <row r="31" spans="1:17" x14ac:dyDescent="0.25">
      <c r="A31" s="54"/>
      <c r="B31" s="52"/>
      <c r="N31" s="11"/>
      <c r="O31" s="11"/>
      <c r="P31" s="11"/>
      <c r="Q31" s="11"/>
    </row>
    <row r="32" spans="1:17" x14ac:dyDescent="0.25">
      <c r="K32" s="11" t="s">
        <v>327</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R7" sqref="R7"/>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1.88671875" style="1" customWidth="1"/>
    <col min="18" max="18" width="11" style="1" customWidth="1"/>
    <col min="19" max="19" width="13.5546875" style="1" customWidth="1"/>
    <col min="20" max="20" width="14.77734375" style="1" customWidth="1"/>
    <col min="21" max="21" width="9.109375" style="1"/>
    <col min="22" max="22" width="10.21875" style="1" customWidth="1"/>
    <col min="23" max="16384" width="9.109375" style="1"/>
  </cols>
  <sheetData>
    <row r="1" spans="1:19" ht="39.6" customHeight="1" x14ac:dyDescent="0.25">
      <c r="A1" s="109" t="s">
        <v>220</v>
      </c>
      <c r="B1" s="95"/>
      <c r="C1" s="95"/>
      <c r="D1" s="95"/>
      <c r="E1" s="95"/>
      <c r="F1" s="87"/>
      <c r="G1" s="87"/>
      <c r="H1" s="87"/>
      <c r="I1" s="87"/>
      <c r="J1" s="88"/>
      <c r="K1" s="87"/>
      <c r="L1" s="87"/>
      <c r="M1" s="87"/>
      <c r="N1" s="87"/>
      <c r="O1" s="87"/>
      <c r="P1" s="87"/>
      <c r="Q1" s="87"/>
      <c r="R1" s="87"/>
      <c r="S1" s="87"/>
    </row>
    <row r="2" spans="1:19" ht="31.8" customHeight="1" x14ac:dyDescent="0.25">
      <c r="A2" s="110" t="s">
        <v>0</v>
      </c>
      <c r="B2" s="111"/>
      <c r="C2" s="111"/>
      <c r="D2" s="111"/>
      <c r="E2" s="111"/>
      <c r="F2" s="89"/>
      <c r="G2" s="89"/>
      <c r="H2" s="87"/>
      <c r="I2" s="87"/>
      <c r="J2" s="87"/>
      <c r="K2" s="87"/>
      <c r="L2" s="87"/>
      <c r="M2" s="87"/>
      <c r="N2" s="87"/>
      <c r="O2" s="87"/>
      <c r="P2" s="87"/>
      <c r="Q2" s="87"/>
      <c r="R2" s="87"/>
      <c r="S2" s="87"/>
    </row>
    <row r="3" spans="1:19" ht="5.4" customHeight="1" x14ac:dyDescent="0.25">
      <c r="A3" s="90"/>
      <c r="B3" s="87"/>
      <c r="C3" s="87"/>
      <c r="D3" s="87"/>
      <c r="E3" s="87"/>
      <c r="F3" s="87"/>
      <c r="G3" s="87"/>
      <c r="H3" s="87"/>
      <c r="I3" s="87"/>
      <c r="J3" s="87"/>
      <c r="K3" s="87"/>
      <c r="L3" s="87"/>
      <c r="M3" s="87"/>
      <c r="N3" s="87"/>
      <c r="O3" s="87"/>
      <c r="P3" s="87"/>
      <c r="Q3" s="87"/>
      <c r="R3" s="87"/>
      <c r="S3" s="87"/>
    </row>
    <row r="4" spans="1:19" ht="3" customHeight="1" x14ac:dyDescent="0.25">
      <c r="A4" s="91"/>
      <c r="B4" s="91"/>
      <c r="C4" s="91"/>
      <c r="D4" s="91"/>
      <c r="E4" s="91"/>
      <c r="F4" s="91"/>
      <c r="G4" s="91"/>
      <c r="H4" s="91"/>
      <c r="I4" s="91"/>
      <c r="J4" s="91"/>
      <c r="K4" s="91"/>
      <c r="L4" s="91"/>
      <c r="M4" s="91"/>
      <c r="N4" s="91"/>
      <c r="O4" s="91"/>
      <c r="P4" s="91"/>
      <c r="Q4" s="91"/>
      <c r="R4" s="91"/>
      <c r="S4" s="91"/>
    </row>
    <row r="5" spans="1:19" ht="3.6" customHeight="1" x14ac:dyDescent="0.25">
      <c r="A5" s="92"/>
      <c r="B5" s="87"/>
      <c r="C5" s="87"/>
      <c r="D5" s="87"/>
      <c r="E5" s="87"/>
      <c r="F5" s="87"/>
      <c r="G5" s="87"/>
      <c r="H5" s="87"/>
      <c r="I5" s="87"/>
      <c r="J5" s="87"/>
      <c r="K5" s="87"/>
      <c r="L5" s="87"/>
      <c r="M5" s="87"/>
      <c r="N5" s="87" t="s">
        <v>493</v>
      </c>
      <c r="O5" s="93" t="s">
        <v>493</v>
      </c>
      <c r="P5" s="87"/>
      <c r="Q5" s="87"/>
      <c r="R5" s="87"/>
      <c r="S5" s="87">
        <v>29</v>
      </c>
    </row>
    <row r="6" spans="1:19" ht="16.2" customHeight="1" x14ac:dyDescent="0.25">
      <c r="A6" s="92"/>
      <c r="B6" s="87"/>
      <c r="C6" s="87"/>
      <c r="D6" s="87"/>
      <c r="E6" s="87"/>
      <c r="F6" s="87"/>
      <c r="G6" s="87"/>
      <c r="H6" s="87"/>
      <c r="I6" s="87"/>
      <c r="J6" s="87"/>
      <c r="K6" s="87"/>
      <c r="L6" s="87"/>
      <c r="M6" s="87"/>
      <c r="N6" s="87" t="s">
        <v>327</v>
      </c>
      <c r="O6" s="87" t="s">
        <v>493</v>
      </c>
      <c r="P6" s="87"/>
      <c r="Q6" s="87" t="s">
        <v>493</v>
      </c>
      <c r="R6" s="87"/>
      <c r="S6" s="112">
        <v>1</v>
      </c>
    </row>
    <row r="7" spans="1:19" ht="15" x14ac:dyDescent="0.25">
      <c r="A7" s="94" t="s">
        <v>1</v>
      </c>
      <c r="B7" s="136" t="str">
        <f>VLOOKUP(S6,'Code Sheet'!A1:G34,2,TRUE)</f>
        <v>Agri-Civic Center</v>
      </c>
      <c r="C7" s="136"/>
      <c r="D7" s="136"/>
      <c r="E7" s="87"/>
      <c r="F7" s="87"/>
      <c r="G7" s="87"/>
      <c r="H7" s="94" t="s">
        <v>41</v>
      </c>
      <c r="I7" s="95"/>
      <c r="J7" s="113">
        <v>2020</v>
      </c>
      <c r="K7" s="114"/>
      <c r="L7" s="87"/>
      <c r="M7" s="87" t="s">
        <v>529</v>
      </c>
      <c r="N7" s="96"/>
      <c r="O7" s="87" t="s">
        <v>327</v>
      </c>
      <c r="P7" s="87" t="s">
        <v>493</v>
      </c>
      <c r="Q7" s="87"/>
      <c r="R7" s="87"/>
      <c r="S7" s="87" t="s">
        <v>493</v>
      </c>
    </row>
    <row r="8" spans="1:19" ht="7.5" customHeight="1" x14ac:dyDescent="0.25">
      <c r="A8" s="87"/>
      <c r="B8" s="87"/>
      <c r="C8" s="87"/>
      <c r="D8" s="87"/>
      <c r="E8" s="87"/>
      <c r="F8" s="87"/>
      <c r="G8" s="87"/>
      <c r="H8" s="87"/>
      <c r="I8" s="87"/>
      <c r="J8" s="87"/>
      <c r="K8" s="87"/>
      <c r="L8" s="87"/>
      <c r="M8" s="87" t="s">
        <v>327</v>
      </c>
      <c r="N8" s="87"/>
      <c r="O8" s="96" t="s">
        <v>327</v>
      </c>
      <c r="P8" s="87"/>
      <c r="Q8" s="87"/>
      <c r="R8" s="87"/>
      <c r="S8" s="87"/>
    </row>
    <row r="9" spans="1:19" ht="9.75" customHeight="1" thickBot="1" x14ac:dyDescent="0.3">
      <c r="A9" s="87"/>
      <c r="B9" s="87"/>
      <c r="C9" s="87"/>
      <c r="D9" s="87"/>
      <c r="E9" s="87"/>
      <c r="F9" s="87"/>
      <c r="G9" s="87"/>
      <c r="H9" s="87"/>
      <c r="I9" s="87"/>
      <c r="J9" s="87"/>
      <c r="K9" s="87"/>
      <c r="L9" s="87"/>
      <c r="M9" s="87"/>
      <c r="N9" s="87"/>
      <c r="O9" s="87"/>
      <c r="P9" s="87"/>
      <c r="Q9" s="87"/>
      <c r="R9" s="87"/>
      <c r="S9" s="87"/>
    </row>
    <row r="10" spans="1:19" ht="14.4" thickTop="1" thickBot="1" x14ac:dyDescent="0.3">
      <c r="A10" s="97" t="s">
        <v>2</v>
      </c>
      <c r="B10" s="98"/>
      <c r="C10" s="99"/>
      <c r="D10" s="100"/>
      <c r="E10" s="100"/>
      <c r="F10" s="100"/>
      <c r="G10" s="100"/>
      <c r="H10" s="100"/>
      <c r="I10" s="100"/>
      <c r="J10" s="100"/>
      <c r="K10" s="100"/>
      <c r="L10" s="100"/>
      <c r="M10" s="100"/>
      <c r="N10" s="100"/>
      <c r="O10" s="100"/>
      <c r="P10" s="100"/>
      <c r="Q10" s="100"/>
      <c r="R10" s="100"/>
      <c r="S10" s="101"/>
    </row>
    <row r="11" spans="1:19" x14ac:dyDescent="0.25">
      <c r="A11" s="102"/>
      <c r="B11" s="103"/>
      <c r="C11" s="103"/>
      <c r="D11" s="104" t="s">
        <v>87</v>
      </c>
      <c r="E11" s="104" t="s">
        <v>88</v>
      </c>
      <c r="F11" s="104" t="s">
        <v>89</v>
      </c>
      <c r="G11" s="104" t="s">
        <v>15</v>
      </c>
      <c r="H11" s="104" t="s">
        <v>16</v>
      </c>
      <c r="I11" s="104" t="s">
        <v>17</v>
      </c>
      <c r="J11" s="104" t="s">
        <v>33</v>
      </c>
      <c r="K11" s="104" t="s">
        <v>34</v>
      </c>
      <c r="L11" s="104" t="s">
        <v>35</v>
      </c>
      <c r="M11" s="104" t="s">
        <v>36</v>
      </c>
      <c r="N11" s="104" t="s">
        <v>37</v>
      </c>
      <c r="O11" s="104" t="s">
        <v>38</v>
      </c>
      <c r="P11" s="104" t="s">
        <v>446</v>
      </c>
      <c r="Q11" s="104" t="s">
        <v>447</v>
      </c>
      <c r="R11" s="104" t="s">
        <v>545</v>
      </c>
      <c r="S11" s="105" t="s">
        <v>546</v>
      </c>
    </row>
    <row r="12" spans="1:19" ht="30" customHeight="1" x14ac:dyDescent="0.25">
      <c r="A12" s="134" t="str">
        <f>VLOOKUP(S6,'Code Sheet'!A1:G34,3,TRUE)</f>
        <v xml:space="preserve">$ Total revenue </v>
      </c>
      <c r="B12" s="135"/>
      <c r="C12" s="135"/>
      <c r="D12" s="115">
        <f>VLOOKUP(S6,'Performance Data'!A:EZ,3,TRUE)</f>
        <v>5186</v>
      </c>
      <c r="E12" s="115">
        <f>VLOOKUP(S6,'Performance Data'!A:EZ,16,TRUE)</f>
        <v>3387</v>
      </c>
      <c r="F12" s="115">
        <f>VLOOKUP(S6,'Performance Data'!A:EZ,29,TRUE)</f>
        <v>2491</v>
      </c>
      <c r="G12" s="115">
        <f>VLOOKUP(S6,'Performance Data'!A:FA,42,TRUE)</f>
        <v>2203</v>
      </c>
      <c r="H12" s="115">
        <f>VLOOKUP(S6,'Performance Data'!A:FA,55,TRUE)</f>
        <v>4181</v>
      </c>
      <c r="I12" s="115">
        <f>VLOOKUP(S6,'Performance Data'!A:FA,68,TRUE)</f>
        <v>7362</v>
      </c>
      <c r="J12" s="115">
        <f>VLOOKUP(S6,'Performance Data'!A:FA,81,TRUE)</f>
        <v>11515</v>
      </c>
      <c r="K12" s="115">
        <f>VLOOKUP(S6,'Performance Data'!A:FA,94,TRUE)</f>
        <v>4083</v>
      </c>
      <c r="L12" s="115">
        <f>VLOOKUP(S6,'Performance Data'!A:FA,107,TRUE)</f>
        <v>9509</v>
      </c>
      <c r="M12" s="115">
        <f>VLOOKUP(S6,'Performance Data'!A:FA,120,TRUE)</f>
        <v>0</v>
      </c>
      <c r="N12" s="115">
        <f>VLOOKUP(S6,'Performance Data'!A:FA,133,TRUE)</f>
        <v>0</v>
      </c>
      <c r="O12" s="115">
        <f>VLOOKUP(S6,'Performance Data'!A:FB,146,TRUE)</f>
        <v>0</v>
      </c>
      <c r="P12" s="116">
        <f>VLOOKUP(S6,'Performance Data'!A:FO,159,TRUE)</f>
        <v>65000</v>
      </c>
      <c r="Q12" s="122">
        <f>SUM(D12:O12)/P12</f>
        <v>0.76795384615384621</v>
      </c>
      <c r="R12" s="116">
        <f>VLOOKUP(S6,'Performance Data'!A:GC,173,TRUE)</f>
        <v>83810</v>
      </c>
      <c r="S12" s="117">
        <f>SUM(D12:O12)/R12</f>
        <v>0.59559718410690843</v>
      </c>
    </row>
    <row r="13" spans="1:19" ht="30" customHeight="1" x14ac:dyDescent="0.25">
      <c r="A13" s="130" t="str">
        <f>VLOOKUP(S6,'Code Sheet'!A1:G34,4,TRUE)</f>
        <v xml:space="preserve"># Paid events </v>
      </c>
      <c r="B13" s="131"/>
      <c r="C13" s="131"/>
      <c r="D13" s="106">
        <f>VLOOKUP(S6,'Performance Data'!A:EZ,4,TRUE)</f>
        <v>3</v>
      </c>
      <c r="E13" s="106">
        <f>VLOOKUP(S6,'Performance Data'!A:EZ,17,TRUE)</f>
        <v>3</v>
      </c>
      <c r="F13" s="106">
        <f>VLOOKUP(S6,'Performance Data'!A:EZ,30,TRUE)</f>
        <v>5</v>
      </c>
      <c r="G13" s="106">
        <f>VLOOKUP(S6,'Performance Data'!A:FA,43,TRUE)</f>
        <v>5</v>
      </c>
      <c r="H13" s="106">
        <f>VLOOKUP(S6,'Performance Data'!A:FA,56,TRUE)</f>
        <v>3</v>
      </c>
      <c r="I13" s="106">
        <f>VLOOKUP(S6,'Performance Data'!A:FA,69,TRUE)</f>
        <v>6</v>
      </c>
      <c r="J13" s="106">
        <f>VLOOKUP(S6,'Performance Data'!A:FA,82,TRUE)</f>
        <v>4</v>
      </c>
      <c r="K13" s="106">
        <f>VLOOKUP(S6,'Performance Data'!A:FA,95,TRUE)</f>
        <v>10</v>
      </c>
      <c r="L13" s="106">
        <f>VLOOKUP(S6,'Performance Data'!A:FA,108,TRUE)</f>
        <v>3</v>
      </c>
      <c r="M13" s="106">
        <f>VLOOKUP(S6,'Performance Data'!A:FA,121,TRUE)</f>
        <v>0</v>
      </c>
      <c r="N13" s="106">
        <f>VLOOKUP(S6,'Performance Data'!A:FA,134,TRUE)</f>
        <v>0</v>
      </c>
      <c r="O13" s="106">
        <f>VLOOKUP(S6,'Performance Data'!A:FA,147,TRUE)</f>
        <v>0</v>
      </c>
      <c r="P13" s="107">
        <f>VLOOKUP(S6,'Performance Data'!A:FO,160,TRUE)</f>
        <v>75</v>
      </c>
      <c r="Q13" s="127">
        <f t="shared" ref="Q13:Q24" si="0">SUM(D13:O13)/P13</f>
        <v>0.56000000000000005</v>
      </c>
      <c r="R13" s="107">
        <f>VLOOKUP(S6,'Performance Data'!A:GC,174,TRUE)</f>
        <v>77</v>
      </c>
      <c r="S13" s="108">
        <f t="shared" ref="S13:S24" si="1">SUM(D13:O13)/R13</f>
        <v>0.54545454545454541</v>
      </c>
    </row>
    <row r="14" spans="1:19" ht="30" customHeight="1" x14ac:dyDescent="0.25">
      <c r="A14" s="134" t="str">
        <f>VLOOKUP(S6,'Code Sheet'!A1:G34,5,TRUE)</f>
        <v># Free events</v>
      </c>
      <c r="B14" s="135"/>
      <c r="C14" s="135"/>
      <c r="D14" s="115">
        <f>VLOOKUP(S6,'Performance Data'!A:EZ,5,TRUE)</f>
        <v>17</v>
      </c>
      <c r="E14" s="115">
        <f>VLOOKUP(S6,'Performance Data'!A:EZ,18,TRUE)</f>
        <v>17</v>
      </c>
      <c r="F14" s="115">
        <f>VLOOKUP(S6,'Performance Data'!A:EZ,31,TRUE)</f>
        <v>24</v>
      </c>
      <c r="G14" s="115">
        <f>VLOOKUP(S6,'Performance Data'!A:FA,44,TRUE)</f>
        <v>30</v>
      </c>
      <c r="H14" s="115">
        <f>VLOOKUP(S6,'Performance Data'!A:FA,57,TRUE)</f>
        <v>22</v>
      </c>
      <c r="I14" s="115">
        <f>VLOOKUP(S6,'Performance Data'!A:FA,70,TRUE)</f>
        <v>19</v>
      </c>
      <c r="J14" s="115">
        <f>VLOOKUP(S6,'Performance Data'!A:FA,83,TRUE)</f>
        <v>17</v>
      </c>
      <c r="K14" s="115">
        <f>VLOOKUP(S6,'Performance Data'!A:FA,96,TRUE)</f>
        <v>15</v>
      </c>
      <c r="L14" s="115">
        <f>VLOOKUP(S6,'Performance Data'!A:FA,109,TRUE)</f>
        <v>10</v>
      </c>
      <c r="M14" s="115">
        <f>VLOOKUP(S6,'Performance Data'!A:FA,122,TRUE)</f>
        <v>0</v>
      </c>
      <c r="N14" s="115">
        <f>VLOOKUP(S6,'Performance Data'!A:FA,135,TRUE)</f>
        <v>0</v>
      </c>
      <c r="O14" s="115">
        <f>VLOOKUP(S6,'Performance Data'!A:FA,148,TRUE)</f>
        <v>0</v>
      </c>
      <c r="P14" s="116">
        <f>VLOOKUP(S6,'Performance Data'!A:FO,161,TRUE)</f>
        <v>190</v>
      </c>
      <c r="Q14" s="122">
        <f t="shared" si="0"/>
        <v>0.9</v>
      </c>
      <c r="R14" s="125">
        <f>VLOOKUP(S6,'Performance Data'!A:GC,175,TRUE)</f>
        <v>206</v>
      </c>
      <c r="S14" s="117">
        <f t="shared" si="1"/>
        <v>0.83009708737864074</v>
      </c>
    </row>
    <row r="15" spans="1:19" ht="30" customHeight="1" x14ac:dyDescent="0.25">
      <c r="A15" s="130" t="str">
        <f>VLOOKUP(S6,'Code Sheet'!A1:G34,6,TRUE)</f>
        <v xml:space="preserve"># Visitors </v>
      </c>
      <c r="B15" s="131"/>
      <c r="C15" s="131"/>
      <c r="D15" s="106">
        <f>VLOOKUP(S6,'Performance Data'!A:EZ,6,TRUE)</f>
        <v>582</v>
      </c>
      <c r="E15" s="106">
        <f>VLOOKUP(S6,'Performance Data'!A:EZ,19,TRUE)</f>
        <v>1416</v>
      </c>
      <c r="F15" s="106">
        <f>VLOOKUP(S6,'Performance Data'!A:EZ,32,TRUE)</f>
        <v>4919</v>
      </c>
      <c r="G15" s="106">
        <f>VLOOKUP(S6,'Performance Data'!A:FA,45,TRUE)</f>
        <v>5194</v>
      </c>
      <c r="H15" s="106">
        <f>VLOOKUP(S6,'Performance Data'!A:FA,58,TRUE)</f>
        <v>1239</v>
      </c>
      <c r="I15" s="106">
        <f>VLOOKUP(S6,'Performance Data'!A:FA,71,TRUE)</f>
        <v>4627</v>
      </c>
      <c r="J15" s="106">
        <f>VLOOKUP(S6,'Performance Data'!A:FA,84,TRUE)</f>
        <v>1221</v>
      </c>
      <c r="K15" s="106">
        <f>VLOOKUP(S6,'Performance Data'!A:FA,97,TRUE)</f>
        <v>4568</v>
      </c>
      <c r="L15" s="106">
        <f>VLOOKUP(S6,'Performance Data'!A:FA,110,TRUE)</f>
        <v>2290</v>
      </c>
      <c r="M15" s="106">
        <f>VLOOKUP(S6,'Performance Data'!A:FA,123,TRUE)</f>
        <v>0</v>
      </c>
      <c r="N15" s="106">
        <f>VLOOKUP(S6,'Performance Data'!A:FA,136,TRUE)</f>
        <v>0</v>
      </c>
      <c r="O15" s="106">
        <f>VLOOKUP(S6,'Performance Data'!A:FA,149,TRUE)</f>
        <v>0</v>
      </c>
      <c r="P15" s="107">
        <f>VLOOKUP(S6,'Performance Data'!A:FO,162,TRUE)</f>
        <v>55000</v>
      </c>
      <c r="Q15" s="127">
        <f t="shared" si="0"/>
        <v>0.47374545454545453</v>
      </c>
      <c r="R15" s="107">
        <f>VLOOKUP(S6,'Performance Data'!A:GC,176,TRUE)</f>
        <v>63254</v>
      </c>
      <c r="S15" s="108">
        <f t="shared" si="1"/>
        <v>0.41192651848104467</v>
      </c>
    </row>
    <row r="16" spans="1:19" ht="30" customHeight="1" x14ac:dyDescent="0.25">
      <c r="A16" s="134" t="str">
        <f>VLOOKUP(S6,'Code Sheet'!A1:G34,7,TRUE)</f>
        <v># Un-rentable days due to rehearsals</v>
      </c>
      <c r="B16" s="135"/>
      <c r="C16" s="135"/>
      <c r="D16" s="115">
        <f>VLOOKUP(S6,'Performance Data'!A:EZ,7,TRUE)</f>
        <v>20</v>
      </c>
      <c r="E16" s="115">
        <f>VLOOKUP(S6,'Performance Data'!A:EZ,20,TRUE)</f>
        <v>1</v>
      </c>
      <c r="F16" s="115">
        <f>VLOOKUP(S6,'Performance Data'!A:EZ,33,TRUE)</f>
        <v>4</v>
      </c>
      <c r="G16" s="115">
        <f>VLOOKUP(S6,'Performance Data'!A:FA,46,TRUE)</f>
        <v>6</v>
      </c>
      <c r="H16" s="115">
        <f>VLOOKUP(S6,'Performance Data'!A:FA,59,TRUE)</f>
        <v>2</v>
      </c>
      <c r="I16" s="115">
        <f>VLOOKUP(S6,'Performance Data'!A:FA,72,TRUE)</f>
        <v>1</v>
      </c>
      <c r="J16" s="115">
        <f>VLOOKUP(S6,'Performance Data'!A:FA,85,TRUE)</f>
        <v>6</v>
      </c>
      <c r="K16" s="115">
        <f>VLOOKUP(S6,'Performance Data'!A:FA,98,TRUE)</f>
        <v>8</v>
      </c>
      <c r="L16" s="115">
        <f>VLOOKUP(S6,'Performance Data'!A:FA,111,TRUE)</f>
        <v>2</v>
      </c>
      <c r="M16" s="115">
        <f>VLOOKUP(S6,'Performance Data'!A:FA,124,TRUE)</f>
        <v>0</v>
      </c>
      <c r="N16" s="115">
        <f>VLOOKUP(S6,'Performance Data'!A:FA,137,TRUE)</f>
        <v>0</v>
      </c>
      <c r="O16" s="115">
        <f>VLOOKUP(S6,'Performance Data'!A:FA,150,TRUE)</f>
        <v>0</v>
      </c>
      <c r="P16" s="116">
        <f>VLOOKUP(S6,'Performance Data'!A:FO,163,TRUE)</f>
        <v>75</v>
      </c>
      <c r="Q16" s="122">
        <f t="shared" si="0"/>
        <v>0.66666666666666663</v>
      </c>
      <c r="R16" s="116">
        <f>VLOOKUP(S6,'Performance Data'!A:GC,177,TRUE)</f>
        <v>94</v>
      </c>
      <c r="S16" s="117">
        <f t="shared" si="1"/>
        <v>0.53191489361702127</v>
      </c>
    </row>
    <row r="17" spans="1:19" ht="30" customHeight="1" x14ac:dyDescent="0.25">
      <c r="A17" s="130">
        <f>VLOOKUP(S6,'Code Sheet'!A1:L34,8,TRUE)</f>
        <v>0</v>
      </c>
      <c r="B17" s="131"/>
      <c r="C17" s="131"/>
      <c r="D17" s="106">
        <f>VLOOKUP(S6,'Performance Data'!A:EZ,8,TRUE)</f>
        <v>0</v>
      </c>
      <c r="E17" s="106">
        <f>VLOOKUP(S6,'Performance Data'!A:EZ,21,TRUE)</f>
        <v>0</v>
      </c>
      <c r="F17" s="106">
        <f>VLOOKUP(S6,'Performance Data'!A:EZ,34,TRUE)</f>
        <v>0</v>
      </c>
      <c r="G17" s="106">
        <f>VLOOKUP(S6,'Performance Data'!A:FA,47,TRUE)</f>
        <v>0</v>
      </c>
      <c r="H17" s="106">
        <f>VLOOKUP(S6,'Performance Data'!A:FA,60,TRUE)</f>
        <v>0</v>
      </c>
      <c r="I17" s="106">
        <f>VLOOKUP(S6,'Performance Data'!A:FA,73,TRUE)</f>
        <v>0</v>
      </c>
      <c r="J17" s="106">
        <f>VLOOKUP(S6,'Performance Data'!A:FA,86,TRUE)</f>
        <v>0</v>
      </c>
      <c r="K17" s="106">
        <f>VLOOKUP(S6,'Performance Data'!A:FA,99,TRUE)</f>
        <v>0</v>
      </c>
      <c r="L17" s="106">
        <f>VLOOKUP(S6,'Performance Data'!A:FA,112,TRUE)</f>
        <v>0</v>
      </c>
      <c r="M17" s="106">
        <f>VLOOKUP(S6,'Performance Data'!A:FA,125,TRUE)</f>
        <v>0</v>
      </c>
      <c r="N17" s="106">
        <f>VLOOKUP(S6,'Performance Data'!A:FA,138,TRUE)</f>
        <v>0</v>
      </c>
      <c r="O17" s="106">
        <f>VLOOKUP(S6,'Performance Data'!A:FA,151,TRUE)</f>
        <v>0</v>
      </c>
      <c r="P17" s="107">
        <f>VLOOKUP(S6,'Performance Data'!A:FO,164,TRUE)</f>
        <v>0</v>
      </c>
      <c r="Q17" s="127" t="e">
        <f t="shared" si="0"/>
        <v>#DIV/0!</v>
      </c>
      <c r="R17" s="107">
        <f>VLOOKUP(S6,'Performance Data'!A:GC,178,TRUE)</f>
        <v>0</v>
      </c>
      <c r="S17" s="108" t="e">
        <f t="shared" si="1"/>
        <v>#DIV/0!</v>
      </c>
    </row>
    <row r="18" spans="1:19" ht="30" customHeight="1" x14ac:dyDescent="0.25">
      <c r="A18" s="134">
        <f>VLOOKUP(S6,'Code Sheet'!A1:L34,9,TRUE)</f>
        <v>0</v>
      </c>
      <c r="B18" s="135"/>
      <c r="C18" s="135"/>
      <c r="D18" s="115">
        <f>VLOOKUP(S6,'Performance Data'!A:EZ,9,TRUE)</f>
        <v>0</v>
      </c>
      <c r="E18" s="115">
        <f>VLOOKUP(S6,'Performance Data'!A:EZ,22,TRUE)</f>
        <v>0</v>
      </c>
      <c r="F18" s="115">
        <f>VLOOKUP(S6,'Performance Data'!A:EZ,35,TRUE)</f>
        <v>0</v>
      </c>
      <c r="G18" s="115">
        <f>VLOOKUP(S6,'Performance Data'!A:FA,48,TRUE)</f>
        <v>0</v>
      </c>
      <c r="H18" s="115">
        <f>VLOOKUP(S6,'Performance Data'!A:FA,61,TRUE)</f>
        <v>0</v>
      </c>
      <c r="I18" s="115">
        <f>VLOOKUP(S6,'Performance Data'!A:FA,74,TRUE)</f>
        <v>0</v>
      </c>
      <c r="J18" s="115">
        <f>VLOOKUP(S6,'Performance Data'!A:FA,87,TRUE)</f>
        <v>0</v>
      </c>
      <c r="K18" s="115">
        <f>VLOOKUP(S6,'Performance Data'!A:FA,100,TRUE)</f>
        <v>0</v>
      </c>
      <c r="L18" s="115">
        <f>VLOOKUP(S6,'Performance Data'!A:FA,113,TRUE)</f>
        <v>0</v>
      </c>
      <c r="M18" s="115">
        <f>VLOOKUP(S6,'Performance Data'!A:FA,126,TRUE)</f>
        <v>0</v>
      </c>
      <c r="N18" s="115">
        <f>VLOOKUP(S6,'Performance Data'!A:FA,139,TRUE)</f>
        <v>0</v>
      </c>
      <c r="O18" s="115">
        <f>VLOOKUP(S6,'Performance Data'!A:FA,152,TRUE)</f>
        <v>0</v>
      </c>
      <c r="P18" s="116">
        <f>VLOOKUP(S6,'Performance Data'!A:FO,165,TRUE)</f>
        <v>0</v>
      </c>
      <c r="Q18" s="122" t="e">
        <f t="shared" si="0"/>
        <v>#DIV/0!</v>
      </c>
      <c r="R18" s="116">
        <f>VLOOKUP(S6,'Performance Data'!A:GC,179,TRUE)</f>
        <v>0</v>
      </c>
      <c r="S18" s="117" t="e">
        <f t="shared" si="1"/>
        <v>#DIV/0!</v>
      </c>
    </row>
    <row r="19" spans="1:19" ht="30" customHeight="1" x14ac:dyDescent="0.25">
      <c r="A19" s="130">
        <f>VLOOKUP(S6,'Code Sheet'!A1:L34,10,TRUE)</f>
        <v>0</v>
      </c>
      <c r="B19" s="131"/>
      <c r="C19" s="131"/>
      <c r="D19" s="106">
        <f>VLOOKUP(S6,'Performance Data'!A:EZ,10,TRUE)</f>
        <v>0</v>
      </c>
      <c r="E19" s="106">
        <f>VLOOKUP(S6,'Performance Data'!A:EZ,23,TRUE)</f>
        <v>0</v>
      </c>
      <c r="F19" s="106">
        <f>VLOOKUP(S6,'Performance Data'!A:EZ,36,TRUE)</f>
        <v>0</v>
      </c>
      <c r="G19" s="106">
        <f>VLOOKUP(S6,'Performance Data'!A:FA,49,TRUE)</f>
        <v>0</v>
      </c>
      <c r="H19" s="106">
        <f>VLOOKUP(S6,'Performance Data'!A:FA,62,TRUE)</f>
        <v>0</v>
      </c>
      <c r="I19" s="106">
        <f>VLOOKUP(S6,'Performance Data'!A:FA,75,TRUE)</f>
        <v>0</v>
      </c>
      <c r="J19" s="106">
        <f>VLOOKUP(S6,'Performance Data'!A:FA,88,TRUE)</f>
        <v>0</v>
      </c>
      <c r="K19" s="106">
        <f>VLOOKUP(S6,'Performance Data'!A:FA,101,TRUE)</f>
        <v>0</v>
      </c>
      <c r="L19" s="106">
        <f>VLOOKUP(S6,'Performance Data'!A:FA,114,TRUE)</f>
        <v>0</v>
      </c>
      <c r="M19" s="106">
        <f>VLOOKUP(S6,'Performance Data'!A:FA,127,TRUE)</f>
        <v>0</v>
      </c>
      <c r="N19" s="106">
        <f>VLOOKUP(S6,'Performance Data'!A:FA,140,TRUE)</f>
        <v>0</v>
      </c>
      <c r="O19" s="106">
        <f>VLOOKUP(S6,'Performance Data'!A:FA,153,TRUE)</f>
        <v>0</v>
      </c>
      <c r="P19" s="107">
        <f>VLOOKUP(S6,'Performance Data'!A:FO,166,TRUE)</f>
        <v>0</v>
      </c>
      <c r="Q19" s="127" t="e">
        <f t="shared" si="0"/>
        <v>#DIV/0!</v>
      </c>
      <c r="R19" s="107">
        <f>VLOOKUP(S6,'Performance Data'!A:GC,180,TRUE)</f>
        <v>0</v>
      </c>
      <c r="S19" s="108" t="e">
        <f t="shared" si="1"/>
        <v>#DIV/0!</v>
      </c>
    </row>
    <row r="20" spans="1:19" ht="30" customHeight="1" x14ac:dyDescent="0.25">
      <c r="A20" s="134">
        <f>VLOOKUP(S6,'Code Sheet'!A1:L34,11,TRUE)</f>
        <v>0</v>
      </c>
      <c r="B20" s="135"/>
      <c r="C20" s="135"/>
      <c r="D20" s="115">
        <f>VLOOKUP(S6,'Performance Data'!A:EZ,11,TRUE)</f>
        <v>0</v>
      </c>
      <c r="E20" s="115">
        <f>VLOOKUP(S6,'Performance Data'!A:EZ,24,TRUE)</f>
        <v>0</v>
      </c>
      <c r="F20" s="115">
        <f>VLOOKUP(S6,'Performance Data'!A:EZ,37,TRUE)</f>
        <v>0</v>
      </c>
      <c r="G20" s="115">
        <f>VLOOKUP(S6,'Performance Data'!A:FA,50,TRUE)</f>
        <v>0</v>
      </c>
      <c r="H20" s="115">
        <f>VLOOKUP(S6,'Performance Data'!A:FA,63,TRUE)</f>
        <v>0</v>
      </c>
      <c r="I20" s="115">
        <f>VLOOKUP(S6,'Performance Data'!A:FA,76,TRUE)</f>
        <v>0</v>
      </c>
      <c r="J20" s="115">
        <f>VLOOKUP(S6,'Performance Data'!A:FA,89,TRUE)</f>
        <v>0</v>
      </c>
      <c r="K20" s="115">
        <f>VLOOKUP(S6,'Performance Data'!A:FA,102,TRUE)</f>
        <v>0</v>
      </c>
      <c r="L20" s="115">
        <f>VLOOKUP(S6,'Performance Data'!A:FA,115,TRUE)</f>
        <v>0</v>
      </c>
      <c r="M20" s="115">
        <f>VLOOKUP(S6,'Performance Data'!A:FA,128,TRUE)</f>
        <v>0</v>
      </c>
      <c r="N20" s="115">
        <f>VLOOKUP(S6,'Performance Data'!A:FA,141,TRUE)</f>
        <v>0</v>
      </c>
      <c r="O20" s="115">
        <f>VLOOKUP(S6,'Performance Data'!A:FA,154,TRUE)</f>
        <v>0</v>
      </c>
      <c r="P20" s="116">
        <f>VLOOKUP(S6,'Performance Data'!A:FO,167,TRUE)</f>
        <v>0</v>
      </c>
      <c r="Q20" s="122" t="e">
        <f t="shared" si="0"/>
        <v>#DIV/0!</v>
      </c>
      <c r="R20" s="116">
        <f>VLOOKUP(S6,'Performance Data'!A:GC,181,TRUE)</f>
        <v>0</v>
      </c>
      <c r="S20" s="117" t="e">
        <f t="shared" si="1"/>
        <v>#DIV/0!</v>
      </c>
    </row>
    <row r="21" spans="1:19" ht="30" customHeight="1" x14ac:dyDescent="0.25">
      <c r="A21" s="130">
        <f>VLOOKUP(S6,'Code Sheet'!A1:L34,12,TRUE)</f>
        <v>0</v>
      </c>
      <c r="B21" s="131"/>
      <c r="C21" s="131"/>
      <c r="D21" s="106">
        <f>VLOOKUP(S6,'Performance Data'!A:EZ,12,TRUE)</f>
        <v>0</v>
      </c>
      <c r="E21" s="106">
        <f>VLOOKUP(S6,'Performance Data'!A:EZ,25,TRUE)</f>
        <v>0</v>
      </c>
      <c r="F21" s="106">
        <f>VLOOKUP(S6,'Performance Data'!A:EZ,38,TRUE)</f>
        <v>0</v>
      </c>
      <c r="G21" s="106">
        <f>VLOOKUP(S6,'Performance Data'!A:FA,51,TRUE)</f>
        <v>0</v>
      </c>
      <c r="H21" s="106">
        <f>VLOOKUP(S6,'Performance Data'!A:FA,64,TRUE)</f>
        <v>0</v>
      </c>
      <c r="I21" s="106">
        <f>VLOOKUP(S6,'Performance Data'!A:FA,77,TRUE)</f>
        <v>0</v>
      </c>
      <c r="J21" s="106">
        <f>VLOOKUP(S6,'Performance Data'!A:FA,90,TRUE)</f>
        <v>0</v>
      </c>
      <c r="K21" s="106">
        <f>VLOOKUP(S6,'Performance Data'!A:FA,103,TRUE)</f>
        <v>0</v>
      </c>
      <c r="L21" s="106">
        <f>VLOOKUP(S6,'Performance Data'!A:FA,116,TRUE)</f>
        <v>0</v>
      </c>
      <c r="M21" s="106">
        <f>VLOOKUP(S6,'Performance Data'!A:FA,129,TRUE)</f>
        <v>0</v>
      </c>
      <c r="N21" s="106">
        <f>VLOOKUP(S6,'Performance Data'!A:FA,142,TRUE)</f>
        <v>0</v>
      </c>
      <c r="O21" s="106">
        <f>VLOOKUP(S6,'Performance Data'!A:FA,155,TRUE)</f>
        <v>0</v>
      </c>
      <c r="P21" s="107">
        <f>VLOOKUP(S6,'Performance Data'!A:FO,168,TRUE)</f>
        <v>0</v>
      </c>
      <c r="Q21" s="127" t="e">
        <f t="shared" si="0"/>
        <v>#DIV/0!</v>
      </c>
      <c r="R21" s="107">
        <f>VLOOKUP(S6,'Performance Data'!A:GC,182,TRUE)</f>
        <v>0</v>
      </c>
      <c r="S21" s="108" t="e">
        <f t="shared" si="1"/>
        <v>#DIV/0!</v>
      </c>
    </row>
    <row r="22" spans="1:19" ht="30" customHeight="1" x14ac:dyDescent="0.25">
      <c r="A22" s="134">
        <f>VLOOKUP(S6,'Code Sheet'!A1:M35,13,TRUE)</f>
        <v>0</v>
      </c>
      <c r="B22" s="135"/>
      <c r="C22" s="135"/>
      <c r="D22" s="115">
        <f>VLOOKUP(S6,'Performance Data'!A:EZ,13,TRUE)</f>
        <v>0</v>
      </c>
      <c r="E22" s="115">
        <f>VLOOKUP(S6,'Performance Data'!A:EZ,26,TRUE)</f>
        <v>0</v>
      </c>
      <c r="F22" s="115">
        <f>VLOOKUP(S6,'Performance Data'!A:EZ,39,TRUE)</f>
        <v>0</v>
      </c>
      <c r="G22" s="115">
        <f>VLOOKUP(S6,'Performance Data'!A:FA,52,TRUE)</f>
        <v>0</v>
      </c>
      <c r="H22" s="115">
        <f>VLOOKUP(S6,'Performance Data'!A:FA,65,TRUE)</f>
        <v>0</v>
      </c>
      <c r="I22" s="115">
        <f>VLOOKUP(S6,'Performance Data'!A:FA,78,TRUE)</f>
        <v>0</v>
      </c>
      <c r="J22" s="115">
        <f>VLOOKUP(S6,'Performance Data'!A:FA,91,TRUE)</f>
        <v>0</v>
      </c>
      <c r="K22" s="115">
        <f>VLOOKUP(S6,'Performance Data'!A:FA,104,TRUE)</f>
        <v>0</v>
      </c>
      <c r="L22" s="115">
        <f>VLOOKUP(S6,'Performance Data'!A:FA,117,TRUE)</f>
        <v>0</v>
      </c>
      <c r="M22" s="115">
        <f>VLOOKUP(S6,'Performance Data'!A:FA,130,TRUE)</f>
        <v>0</v>
      </c>
      <c r="N22" s="115">
        <f>VLOOKUP(S6,'Performance Data'!A:FA,143,TRUE)</f>
        <v>0</v>
      </c>
      <c r="O22" s="115">
        <f>VLOOKUP(S6,'Performance Data'!A:FB,156,TRUE)</f>
        <v>0</v>
      </c>
      <c r="P22" s="116">
        <f>VLOOKUP(S6,'Performance Data'!A:FO,169,TRUE)</f>
        <v>0</v>
      </c>
      <c r="Q22" s="122" t="e">
        <f t="shared" si="0"/>
        <v>#DIV/0!</v>
      </c>
      <c r="R22" s="116">
        <f>VLOOKUP(S6,'Performance Data'!A:GC,183,TRUE)</f>
        <v>0</v>
      </c>
      <c r="S22" s="117" t="e">
        <f t="shared" si="1"/>
        <v>#DIV/0!</v>
      </c>
    </row>
    <row r="23" spans="1:19" ht="30" customHeight="1" x14ac:dyDescent="0.25">
      <c r="A23" s="130">
        <f>VLOOKUP(S6,'Code Sheet'!A1:O34,14,TRUE)</f>
        <v>0</v>
      </c>
      <c r="B23" s="131"/>
      <c r="C23" s="131"/>
      <c r="D23" s="106">
        <f>VLOOKUP(S6,'Performance Data'!A:EZ,14,TRUE)</f>
        <v>0</v>
      </c>
      <c r="E23" s="106">
        <f>VLOOKUP(S6,'Performance Data'!A:EZ,27,TRUE)</f>
        <v>0</v>
      </c>
      <c r="F23" s="106">
        <f>VLOOKUP(S6,'Performance Data'!A:EZ,40,TRUE)</f>
        <v>0</v>
      </c>
      <c r="G23" s="106">
        <f>VLOOKUP(S6,'Performance Data'!A:FA,53,TRUE)</f>
        <v>0</v>
      </c>
      <c r="H23" s="106">
        <f>VLOOKUP(S6,'Performance Data'!A:FA,66,TRUE)</f>
        <v>0</v>
      </c>
      <c r="I23" s="106">
        <f>VLOOKUP(S6,'Performance Data'!A:FA,79,TRUE)</f>
        <v>0</v>
      </c>
      <c r="J23" s="106">
        <f>VLOOKUP(S6,'Performance Data'!A:FA,92,TRUE)</f>
        <v>0</v>
      </c>
      <c r="K23" s="106">
        <f>VLOOKUP(S6,'Performance Data'!A:FA,105,TRUE)</f>
        <v>0</v>
      </c>
      <c r="L23" s="106">
        <f>VLOOKUP(S6,'Performance Data'!A:FA,118,TRUE)</f>
        <v>0</v>
      </c>
      <c r="M23" s="106">
        <f>VLOOKUP(S6,'Performance Data'!A:FA,131,TRUE)</f>
        <v>0</v>
      </c>
      <c r="N23" s="106">
        <f>VLOOKUP(S6,'Performance Data'!A:FA,144,TRUE)</f>
        <v>0</v>
      </c>
      <c r="O23" s="106">
        <f>VLOOKUP(S6,'Performance Data'!A:FB,157,TRUE)</f>
        <v>0</v>
      </c>
      <c r="P23" s="107">
        <f>VLOOKUP(S6,'Performance Data'!A:FO,170,TRUE)</f>
        <v>0</v>
      </c>
      <c r="Q23" s="127" t="e">
        <f t="shared" si="0"/>
        <v>#DIV/0!</v>
      </c>
      <c r="R23" s="107">
        <f>VLOOKUP(S6,'Performance Data'!A:GC,184,TRUE)</f>
        <v>0</v>
      </c>
      <c r="S23" s="108" t="e">
        <f t="shared" si="1"/>
        <v>#DIV/0!</v>
      </c>
    </row>
    <row r="24" spans="1:19" ht="30" customHeight="1" thickBot="1" x14ac:dyDescent="0.3">
      <c r="A24" s="132">
        <f>VLOOKUP(S6,'Code Sheet'!A1:O37,15,TRUE)</f>
        <v>0</v>
      </c>
      <c r="B24" s="133"/>
      <c r="C24" s="133"/>
      <c r="D24" s="118">
        <f>VLOOKUP(S6,'Performance Data'!A:EZ,15,TRUE)</f>
        <v>0</v>
      </c>
      <c r="E24" s="118">
        <f>VLOOKUP(S6,'Performance Data'!A:EZ,28,TRUE)</f>
        <v>0</v>
      </c>
      <c r="F24" s="118">
        <f>VLOOKUP(S6,'Performance Data'!A:EZ,41,TRUE)</f>
        <v>0</v>
      </c>
      <c r="G24" s="118">
        <f>VLOOKUP(S6,'Performance Data'!A:FA,54,TRUE)</f>
        <v>0</v>
      </c>
      <c r="H24" s="118">
        <f>VLOOKUP(S6,'Performance Data'!A:FA,67,TRUE)</f>
        <v>0</v>
      </c>
      <c r="I24" s="118">
        <f>VLOOKUP(S6,'Performance Data'!A:FA,80,TRUE)</f>
        <v>0</v>
      </c>
      <c r="J24" s="118">
        <f>VLOOKUP(S6,'Performance Data'!A:FA,93,TRUE)</f>
        <v>0</v>
      </c>
      <c r="K24" s="118">
        <f>VLOOKUP(S6,'Performance Data'!A:FA,106,TRUE)</f>
        <v>0</v>
      </c>
      <c r="L24" s="118">
        <f>VLOOKUP(S6,'Performance Data'!A:FA,119,TRUE)</f>
        <v>0</v>
      </c>
      <c r="M24" s="118">
        <f>VLOOKUP(S6,'Performance Data'!A:FA,132,TRUE)</f>
        <v>0</v>
      </c>
      <c r="N24" s="118">
        <f>VLOOKUP(S6,'Performance Data'!A:FA,145,TRUE)</f>
        <v>0</v>
      </c>
      <c r="O24" s="118">
        <f>VLOOKUP(S6,'Performance Data'!A:FB,158,TRUE)</f>
        <v>0</v>
      </c>
      <c r="P24" s="119">
        <f>VLOOKUP(S6,'Performance Data'!A:FO,171,TRUE)</f>
        <v>0</v>
      </c>
      <c r="Q24" s="123" t="e">
        <f t="shared" si="0"/>
        <v>#DIV/0!</v>
      </c>
      <c r="R24" s="126">
        <f>VLOOKUP(S6,'Performance Data'!A:GC,185,TRUE)</f>
        <v>0</v>
      </c>
      <c r="S24" s="120" t="e">
        <f t="shared" si="1"/>
        <v>#DIV/0!</v>
      </c>
    </row>
    <row r="25" spans="1:19"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topLeftCell="A7" zoomScale="90" zoomScaleNormal="90" workbookViewId="0">
      <pane xSplit="3300" topLeftCell="DL1" activePane="topRight"/>
      <selection activeCell="A18" sqref="A18:XFD18"/>
      <selection pane="topRight" activeCell="EA18" sqref="EA18"/>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22" max="22" width="11" bestFit="1" customWidth="1"/>
    <col min="35" max="36" width="10" bestFit="1" customWidth="1"/>
    <col min="161" max="162" width="9.33203125" bestFit="1" customWidth="1"/>
    <col min="172" max="172" width="8.88671875" style="7"/>
  </cols>
  <sheetData>
    <row r="1" spans="1:185" x14ac:dyDescent="0.25">
      <c r="A1" s="9" t="s">
        <v>3</v>
      </c>
      <c r="B1" s="9" t="s">
        <v>1</v>
      </c>
      <c r="C1" s="9" t="s">
        <v>90</v>
      </c>
      <c r="D1" s="9" t="s">
        <v>91</v>
      </c>
      <c r="E1" s="9" t="s">
        <v>92</v>
      </c>
      <c r="F1" s="9" t="s">
        <v>93</v>
      </c>
      <c r="G1" s="9" t="s">
        <v>94</v>
      </c>
      <c r="H1" s="9" t="s">
        <v>95</v>
      </c>
      <c r="I1" s="9" t="s">
        <v>96</v>
      </c>
      <c r="J1" s="9" t="s">
        <v>97</v>
      </c>
      <c r="K1" s="9" t="s">
        <v>98</v>
      </c>
      <c r="L1" s="9" t="s">
        <v>99</v>
      </c>
      <c r="M1" s="9" t="s">
        <v>280</v>
      </c>
      <c r="N1" s="9" t="s">
        <v>281</v>
      </c>
      <c r="O1" s="9" t="s">
        <v>282</v>
      </c>
      <c r="P1" s="9" t="s">
        <v>102</v>
      </c>
      <c r="Q1" s="9" t="s">
        <v>103</v>
      </c>
      <c r="R1" s="9" t="s">
        <v>104</v>
      </c>
      <c r="S1" s="9" t="s">
        <v>105</v>
      </c>
      <c r="T1" s="9" t="s">
        <v>106</v>
      </c>
      <c r="U1" s="9" t="s">
        <v>107</v>
      </c>
      <c r="V1" s="9" t="s">
        <v>108</v>
      </c>
      <c r="W1" s="9" t="s">
        <v>109</v>
      </c>
      <c r="X1" s="9" t="s">
        <v>110</v>
      </c>
      <c r="Y1" s="9" t="s">
        <v>111</v>
      </c>
      <c r="Z1" s="9" t="s">
        <v>283</v>
      </c>
      <c r="AA1" s="9" t="s">
        <v>284</v>
      </c>
      <c r="AB1" s="9" t="s">
        <v>285</v>
      </c>
      <c r="AC1" s="9" t="s">
        <v>112</v>
      </c>
      <c r="AD1" s="9" t="s">
        <v>113</v>
      </c>
      <c r="AE1" s="9" t="s">
        <v>114</v>
      </c>
      <c r="AF1" s="9" t="s">
        <v>115</v>
      </c>
      <c r="AG1" s="9" t="s">
        <v>116</v>
      </c>
      <c r="AH1" s="9" t="s">
        <v>117</v>
      </c>
      <c r="AI1" s="9" t="s">
        <v>118</v>
      </c>
      <c r="AJ1" s="9" t="s">
        <v>119</v>
      </c>
      <c r="AK1" s="9" t="s">
        <v>120</v>
      </c>
      <c r="AL1" s="9" t="s">
        <v>121</v>
      </c>
      <c r="AM1" s="9" t="s">
        <v>286</v>
      </c>
      <c r="AN1" s="9" t="s">
        <v>287</v>
      </c>
      <c r="AO1" s="9" t="s">
        <v>288</v>
      </c>
      <c r="AP1" s="9" t="s">
        <v>127</v>
      </c>
      <c r="AQ1" s="9" t="s">
        <v>128</v>
      </c>
      <c r="AR1" s="9" t="s">
        <v>129</v>
      </c>
      <c r="AS1" s="9" t="s">
        <v>130</v>
      </c>
      <c r="AT1" s="9" t="s">
        <v>131</v>
      </c>
      <c r="AU1" s="9" t="s">
        <v>132</v>
      </c>
      <c r="AV1" s="9" t="s">
        <v>133</v>
      </c>
      <c r="AW1" s="9" t="s">
        <v>134</v>
      </c>
      <c r="AX1" s="9" t="s">
        <v>135</v>
      </c>
      <c r="AY1" s="9" t="s">
        <v>136</v>
      </c>
      <c r="AZ1" s="9" t="s">
        <v>289</v>
      </c>
      <c r="BA1" s="9" t="s">
        <v>290</v>
      </c>
      <c r="BB1" s="9" t="s">
        <v>291</v>
      </c>
      <c r="BC1" s="9" t="s">
        <v>137</v>
      </c>
      <c r="BD1" s="9" t="s">
        <v>138</v>
      </c>
      <c r="BE1" s="9" t="s">
        <v>139</v>
      </c>
      <c r="BF1" s="9" t="s">
        <v>140</v>
      </c>
      <c r="BG1" s="9" t="s">
        <v>141</v>
      </c>
      <c r="BH1" s="9" t="s">
        <v>142</v>
      </c>
      <c r="BI1" s="9" t="s">
        <v>143</v>
      </c>
      <c r="BJ1" s="9" t="s">
        <v>144</v>
      </c>
      <c r="BK1" s="9" t="s">
        <v>145</v>
      </c>
      <c r="BL1" s="9" t="s">
        <v>146</v>
      </c>
      <c r="BM1" s="9" t="s">
        <v>292</v>
      </c>
      <c r="BN1" s="9" t="s">
        <v>293</v>
      </c>
      <c r="BO1" s="9" t="s">
        <v>294</v>
      </c>
      <c r="BP1" s="9" t="s">
        <v>147</v>
      </c>
      <c r="BQ1" s="9" t="s">
        <v>148</v>
      </c>
      <c r="BR1" s="9" t="s">
        <v>149</v>
      </c>
      <c r="BS1" s="9" t="s">
        <v>150</v>
      </c>
      <c r="BT1" s="9" t="s">
        <v>151</v>
      </c>
      <c r="BU1" s="9" t="s">
        <v>152</v>
      </c>
      <c r="BV1" s="9" t="s">
        <v>153</v>
      </c>
      <c r="BW1" s="9" t="s">
        <v>154</v>
      </c>
      <c r="BX1" s="9" t="s">
        <v>155</v>
      </c>
      <c r="BY1" s="9" t="s">
        <v>156</v>
      </c>
      <c r="BZ1" s="9" t="s">
        <v>295</v>
      </c>
      <c r="CA1" s="9" t="s">
        <v>296</v>
      </c>
      <c r="CB1" s="9" t="s">
        <v>297</v>
      </c>
      <c r="CC1" s="9" t="s">
        <v>157</v>
      </c>
      <c r="CD1" s="9" t="s">
        <v>158</v>
      </c>
      <c r="CE1" s="9" t="s">
        <v>159</v>
      </c>
      <c r="CF1" s="9" t="s">
        <v>160</v>
      </c>
      <c r="CG1" s="9" t="s">
        <v>161</v>
      </c>
      <c r="CH1" s="9" t="s">
        <v>162</v>
      </c>
      <c r="CI1" s="9" t="s">
        <v>163</v>
      </c>
      <c r="CJ1" s="9" t="s">
        <v>164</v>
      </c>
      <c r="CK1" s="9" t="s">
        <v>165</v>
      </c>
      <c r="CL1" s="9" t="s">
        <v>166</v>
      </c>
      <c r="CM1" s="9" t="s">
        <v>298</v>
      </c>
      <c r="CN1" s="9" t="s">
        <v>299</v>
      </c>
      <c r="CO1" s="9" t="s">
        <v>300</v>
      </c>
      <c r="CP1" s="9" t="s">
        <v>167</v>
      </c>
      <c r="CQ1" s="9" t="s">
        <v>168</v>
      </c>
      <c r="CR1" s="9" t="s">
        <v>169</v>
      </c>
      <c r="CS1" s="9" t="s">
        <v>170</v>
      </c>
      <c r="CT1" s="9" t="s">
        <v>171</v>
      </c>
      <c r="CU1" s="9" t="s">
        <v>172</v>
      </c>
      <c r="CV1" s="9" t="s">
        <v>173</v>
      </c>
      <c r="CW1" s="9" t="s">
        <v>174</v>
      </c>
      <c r="CX1" s="9" t="s">
        <v>175</v>
      </c>
      <c r="CY1" s="9" t="s">
        <v>176</v>
      </c>
      <c r="CZ1" s="9" t="s">
        <v>301</v>
      </c>
      <c r="DA1" s="9" t="s">
        <v>302</v>
      </c>
      <c r="DB1" s="9" t="s">
        <v>303</v>
      </c>
      <c r="DC1" s="9" t="s">
        <v>177</v>
      </c>
      <c r="DD1" s="9" t="s">
        <v>178</v>
      </c>
      <c r="DE1" s="9" t="s">
        <v>179</v>
      </c>
      <c r="DF1" s="9" t="s">
        <v>180</v>
      </c>
      <c r="DG1" s="9" t="s">
        <v>181</v>
      </c>
      <c r="DH1" s="9" t="s">
        <v>182</v>
      </c>
      <c r="DI1" s="9" t="s">
        <v>183</v>
      </c>
      <c r="DJ1" s="9" t="s">
        <v>184</v>
      </c>
      <c r="DK1" s="9" t="s">
        <v>185</v>
      </c>
      <c r="DL1" s="9" t="s">
        <v>186</v>
      </c>
      <c r="DM1" s="9" t="s">
        <v>304</v>
      </c>
      <c r="DN1" s="9" t="s">
        <v>305</v>
      </c>
      <c r="DO1" s="9" t="s">
        <v>306</v>
      </c>
      <c r="DP1" s="9" t="s">
        <v>190</v>
      </c>
      <c r="DQ1" s="9" t="s">
        <v>191</v>
      </c>
      <c r="DR1" s="9" t="s">
        <v>192</v>
      </c>
      <c r="DS1" s="9" t="s">
        <v>193</v>
      </c>
      <c r="DT1" s="9" t="s">
        <v>194</v>
      </c>
      <c r="DU1" s="9" t="s">
        <v>195</v>
      </c>
      <c r="DV1" s="9" t="s">
        <v>196</v>
      </c>
      <c r="DW1" s="9" t="s">
        <v>197</v>
      </c>
      <c r="DX1" s="9" t="s">
        <v>198</v>
      </c>
      <c r="DY1" s="9" t="s">
        <v>199</v>
      </c>
      <c r="DZ1" s="9" t="s">
        <v>307</v>
      </c>
      <c r="EA1" s="9" t="s">
        <v>308</v>
      </c>
      <c r="EB1" s="9" t="s">
        <v>309</v>
      </c>
      <c r="EC1" s="9" t="s">
        <v>200</v>
      </c>
      <c r="ED1" s="9" t="s">
        <v>201</v>
      </c>
      <c r="EE1" s="9" t="s">
        <v>202</v>
      </c>
      <c r="EF1" s="9" t="s">
        <v>203</v>
      </c>
      <c r="EG1" s="9" t="s">
        <v>204</v>
      </c>
      <c r="EH1" s="9" t="s">
        <v>205</v>
      </c>
      <c r="EI1" s="9" t="s">
        <v>206</v>
      </c>
      <c r="EJ1" s="9" t="s">
        <v>207</v>
      </c>
      <c r="EK1" s="9" t="s">
        <v>208</v>
      </c>
      <c r="EL1" s="9" t="s">
        <v>209</v>
      </c>
      <c r="EM1" s="9" t="s">
        <v>310</v>
      </c>
      <c r="EN1" s="9" t="s">
        <v>311</v>
      </c>
      <c r="EO1" s="9" t="s">
        <v>312</v>
      </c>
      <c r="EP1" s="9" t="s">
        <v>210</v>
      </c>
      <c r="EQ1" s="9" t="s">
        <v>211</v>
      </c>
      <c r="ER1" s="9" t="s">
        <v>212</v>
      </c>
      <c r="ES1" s="9" t="s">
        <v>213</v>
      </c>
      <c r="ET1" s="9" t="s">
        <v>214</v>
      </c>
      <c r="EU1" s="9" t="s">
        <v>215</v>
      </c>
      <c r="EV1" s="9" t="s">
        <v>216</v>
      </c>
      <c r="EW1" s="9" t="s">
        <v>217</v>
      </c>
      <c r="EX1" s="9" t="s">
        <v>218</v>
      </c>
      <c r="EY1" s="9" t="s">
        <v>219</v>
      </c>
      <c r="EZ1" s="9" t="s">
        <v>313</v>
      </c>
      <c r="FA1" s="9" t="s">
        <v>314</v>
      </c>
      <c r="FB1" s="9" t="s">
        <v>315</v>
      </c>
      <c r="FC1" s="9" t="s">
        <v>408</v>
      </c>
      <c r="FD1" s="9" t="s">
        <v>409</v>
      </c>
      <c r="FE1" s="9" t="s">
        <v>410</v>
      </c>
      <c r="FF1" s="9" t="s">
        <v>411</v>
      </c>
      <c r="FG1" s="9" t="s">
        <v>412</v>
      </c>
      <c r="FH1" s="9" t="s">
        <v>413</v>
      </c>
      <c r="FI1" s="9" t="s">
        <v>414</v>
      </c>
      <c r="FJ1" s="9" t="s">
        <v>415</v>
      </c>
      <c r="FK1" s="9" t="s">
        <v>416</v>
      </c>
      <c r="FL1" s="9" t="s">
        <v>417</v>
      </c>
      <c r="FM1" s="9" t="s">
        <v>418</v>
      </c>
      <c r="FN1" s="9" t="s">
        <v>419</v>
      </c>
      <c r="FO1" s="9" t="s">
        <v>420</v>
      </c>
      <c r="FP1" s="121"/>
      <c r="FQ1" s="17" t="s">
        <v>547</v>
      </c>
      <c r="FR1" s="17" t="s">
        <v>548</v>
      </c>
      <c r="FS1" s="17" t="s">
        <v>549</v>
      </c>
      <c r="FT1" s="17" t="s">
        <v>550</v>
      </c>
      <c r="FU1" s="17" t="s">
        <v>551</v>
      </c>
      <c r="FV1" s="17" t="s">
        <v>552</v>
      </c>
      <c r="FW1" s="17" t="s">
        <v>553</v>
      </c>
      <c r="FX1" s="17" t="s">
        <v>554</v>
      </c>
      <c r="FY1" s="17" t="s">
        <v>555</v>
      </c>
      <c r="FZ1" s="17" t="s">
        <v>556</v>
      </c>
      <c r="GA1" s="17" t="s">
        <v>557</v>
      </c>
      <c r="GB1" s="17" t="s">
        <v>558</v>
      </c>
      <c r="GC1" s="17" t="s">
        <v>559</v>
      </c>
    </row>
    <row r="2" spans="1:185" x14ac:dyDescent="0.25">
      <c r="A2" s="25">
        <v>1</v>
      </c>
      <c r="B2" s="26" t="s">
        <v>221</v>
      </c>
      <c r="C2" s="16">
        <v>5186</v>
      </c>
      <c r="D2" s="16">
        <v>3</v>
      </c>
      <c r="E2" s="16">
        <v>17</v>
      </c>
      <c r="F2" s="16">
        <v>582</v>
      </c>
      <c r="G2" s="16">
        <v>20</v>
      </c>
      <c r="H2" s="16"/>
      <c r="I2" s="16"/>
      <c r="J2" s="11"/>
      <c r="K2" s="11"/>
      <c r="L2" s="9"/>
      <c r="M2" s="9"/>
      <c r="N2" s="9"/>
      <c r="O2" s="9"/>
      <c r="P2" s="16">
        <v>3387</v>
      </c>
      <c r="Q2" s="16">
        <v>3</v>
      </c>
      <c r="R2" s="16">
        <v>17</v>
      </c>
      <c r="S2" s="16">
        <v>1416</v>
      </c>
      <c r="T2" s="16">
        <v>1</v>
      </c>
      <c r="U2" s="17"/>
      <c r="V2" s="17"/>
      <c r="W2" s="17"/>
      <c r="X2" s="17"/>
      <c r="Y2" s="17"/>
      <c r="Z2" s="17"/>
      <c r="AA2" s="17"/>
      <c r="AB2" s="17"/>
      <c r="AC2" s="16">
        <v>2491</v>
      </c>
      <c r="AD2" s="16">
        <v>5</v>
      </c>
      <c r="AE2" s="16">
        <v>24</v>
      </c>
      <c r="AF2" s="16">
        <v>4919</v>
      </c>
      <c r="AG2" s="16">
        <v>4</v>
      </c>
      <c r="AH2" s="16"/>
      <c r="AI2" s="16"/>
      <c r="AJ2" s="16"/>
      <c r="AK2" s="16"/>
      <c r="AL2" s="16"/>
      <c r="AM2" s="16"/>
      <c r="AN2" s="16"/>
      <c r="AO2" s="16"/>
      <c r="AP2" s="16">
        <v>2203</v>
      </c>
      <c r="AQ2" s="16">
        <v>5</v>
      </c>
      <c r="AR2" s="16">
        <v>30</v>
      </c>
      <c r="AS2" s="16">
        <v>5194</v>
      </c>
      <c r="AT2" s="16">
        <v>6</v>
      </c>
      <c r="AU2" s="16"/>
      <c r="AV2" s="16"/>
      <c r="AW2" s="16"/>
      <c r="AX2" s="16"/>
      <c r="AY2" s="16"/>
      <c r="AZ2" s="16"/>
      <c r="BA2" s="16"/>
      <c r="BB2" s="16"/>
      <c r="BC2" s="16">
        <v>4181</v>
      </c>
      <c r="BD2" s="16">
        <v>3</v>
      </c>
      <c r="BE2" s="16">
        <v>22</v>
      </c>
      <c r="BF2" s="16">
        <v>1239</v>
      </c>
      <c r="BG2" s="16">
        <v>2</v>
      </c>
      <c r="BH2" s="16"/>
      <c r="BI2" s="16"/>
      <c r="BJ2" s="16"/>
      <c r="BK2" s="16"/>
      <c r="BL2" s="16"/>
      <c r="BM2" s="16"/>
      <c r="BN2" s="16"/>
      <c r="BO2" s="16"/>
      <c r="BP2">
        <v>7362</v>
      </c>
      <c r="BQ2">
        <v>6</v>
      </c>
      <c r="BR2">
        <v>19</v>
      </c>
      <c r="BS2">
        <v>4627</v>
      </c>
      <c r="BT2">
        <v>1</v>
      </c>
      <c r="BU2" s="16"/>
      <c r="BV2" s="16"/>
      <c r="BW2" s="16"/>
      <c r="BX2" s="16"/>
      <c r="BY2" s="16"/>
      <c r="BZ2" s="16"/>
      <c r="CA2" s="16"/>
      <c r="CB2" s="16"/>
      <c r="CC2" s="16">
        <v>11515</v>
      </c>
      <c r="CD2" s="16">
        <v>4</v>
      </c>
      <c r="CE2" s="16">
        <v>17</v>
      </c>
      <c r="CF2" s="16">
        <v>1221</v>
      </c>
      <c r="CG2" s="16">
        <v>6</v>
      </c>
      <c r="CH2" s="16"/>
      <c r="CI2" s="16"/>
      <c r="CJ2" s="16"/>
      <c r="CK2" s="16"/>
      <c r="CL2" s="16"/>
      <c r="CM2" s="16"/>
      <c r="CN2" s="16"/>
      <c r="CO2" s="16"/>
      <c r="CP2" s="16">
        <v>4083</v>
      </c>
      <c r="CQ2" s="16">
        <v>10</v>
      </c>
      <c r="CR2" s="16">
        <v>15</v>
      </c>
      <c r="CS2" s="16">
        <v>4568</v>
      </c>
      <c r="CT2" s="16">
        <v>8</v>
      </c>
      <c r="CU2" s="16"/>
      <c r="CV2" s="11"/>
      <c r="CW2" s="11"/>
      <c r="CX2" s="11"/>
      <c r="CY2" s="11"/>
      <c r="CZ2" s="11"/>
      <c r="DA2" s="11"/>
      <c r="DB2" s="11"/>
      <c r="DC2" s="16">
        <v>9509</v>
      </c>
      <c r="DD2" s="16">
        <v>3</v>
      </c>
      <c r="DE2" s="16">
        <v>10</v>
      </c>
      <c r="DF2" s="16">
        <v>2290</v>
      </c>
      <c r="DG2" s="16">
        <v>2</v>
      </c>
      <c r="DH2" s="16"/>
      <c r="DI2" s="16"/>
      <c r="DJ2" s="16"/>
      <c r="DK2" s="16"/>
      <c r="DL2" s="16"/>
      <c r="DM2" s="16"/>
      <c r="DN2" s="11"/>
      <c r="DO2" s="11"/>
      <c r="DP2" s="16">
        <v>0</v>
      </c>
      <c r="DQ2" s="16">
        <v>0</v>
      </c>
      <c r="DR2" s="16">
        <v>0</v>
      </c>
      <c r="DS2" s="16">
        <v>0</v>
      </c>
      <c r="DT2" s="16">
        <v>0</v>
      </c>
      <c r="DU2" s="16">
        <v>0</v>
      </c>
      <c r="DV2" s="16">
        <v>0</v>
      </c>
      <c r="DW2" s="16">
        <v>0</v>
      </c>
      <c r="DX2" s="16">
        <v>0</v>
      </c>
      <c r="DY2" s="16">
        <v>0</v>
      </c>
      <c r="DZ2" s="16">
        <v>0</v>
      </c>
      <c r="EA2" s="16">
        <v>0</v>
      </c>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5">
        <v>65000</v>
      </c>
      <c r="FD2" s="55">
        <v>75</v>
      </c>
      <c r="FE2" s="55">
        <v>190</v>
      </c>
      <c r="FF2" s="55">
        <v>55000</v>
      </c>
      <c r="FG2" s="55">
        <v>75</v>
      </c>
      <c r="FH2" s="55"/>
      <c r="FI2" s="55"/>
      <c r="FJ2" s="55"/>
      <c r="FK2" s="55"/>
      <c r="FL2" s="55"/>
      <c r="FM2" s="55"/>
      <c r="FN2" s="55"/>
      <c r="FO2" s="55"/>
      <c r="FQ2" s="124">
        <v>83810</v>
      </c>
      <c r="FR2" s="124">
        <v>77</v>
      </c>
      <c r="FS2" s="124">
        <v>206</v>
      </c>
      <c r="FT2" s="124">
        <v>63254</v>
      </c>
      <c r="FU2" s="124">
        <v>94</v>
      </c>
      <c r="FV2" s="124"/>
      <c r="FW2" s="124"/>
      <c r="FX2" s="124"/>
      <c r="FY2" s="124"/>
      <c r="FZ2" s="124"/>
      <c r="GA2" s="124"/>
      <c r="GB2" s="124"/>
      <c r="GC2" s="124"/>
    </row>
    <row r="3" spans="1:185" x14ac:dyDescent="0.25">
      <c r="A3" s="29">
        <v>2</v>
      </c>
      <c r="B3" s="27" t="s">
        <v>4</v>
      </c>
      <c r="C3" s="16">
        <v>1372</v>
      </c>
      <c r="D3" s="16">
        <v>4244</v>
      </c>
      <c r="E3" s="16">
        <v>2639</v>
      </c>
      <c r="F3" s="16">
        <v>30</v>
      </c>
      <c r="G3" s="16">
        <v>6500</v>
      </c>
      <c r="H3" s="16">
        <v>6</v>
      </c>
      <c r="I3" s="16">
        <v>150</v>
      </c>
      <c r="J3" s="16">
        <v>930</v>
      </c>
      <c r="K3" s="11"/>
      <c r="L3" s="11"/>
      <c r="M3" s="11"/>
      <c r="N3" s="11"/>
      <c r="O3" s="11"/>
      <c r="P3" s="16">
        <v>1242</v>
      </c>
      <c r="Q3" s="16">
        <v>3587</v>
      </c>
      <c r="R3" s="16">
        <v>3633</v>
      </c>
      <c r="S3" s="16">
        <v>30</v>
      </c>
      <c r="T3" s="16">
        <v>6500</v>
      </c>
      <c r="U3" s="16">
        <v>7</v>
      </c>
      <c r="V3" s="16">
        <v>175</v>
      </c>
      <c r="W3" s="16">
        <v>930</v>
      </c>
      <c r="X3" s="16"/>
      <c r="Y3" s="16"/>
      <c r="Z3" s="16"/>
      <c r="AA3" s="16"/>
      <c r="AB3" s="16"/>
      <c r="AC3" s="16">
        <v>1344</v>
      </c>
      <c r="AD3" s="16">
        <v>3852</v>
      </c>
      <c r="AE3" s="16">
        <v>6954</v>
      </c>
      <c r="AF3" s="16">
        <v>30</v>
      </c>
      <c r="AG3" s="16">
        <v>6500</v>
      </c>
      <c r="AH3" s="16">
        <v>8</v>
      </c>
      <c r="AI3" s="16">
        <v>200</v>
      </c>
      <c r="AJ3" s="16">
        <v>1728</v>
      </c>
      <c r="AK3" s="16"/>
      <c r="AL3" s="16"/>
      <c r="AM3" s="16"/>
      <c r="AN3" s="16"/>
      <c r="AO3" s="16"/>
      <c r="AP3" s="16">
        <v>1289</v>
      </c>
      <c r="AQ3" s="16">
        <v>2816</v>
      </c>
      <c r="AR3" s="16">
        <v>5526</v>
      </c>
      <c r="AS3" s="16">
        <v>30</v>
      </c>
      <c r="AT3" s="16">
        <v>6500</v>
      </c>
      <c r="AU3" s="16">
        <v>9</v>
      </c>
      <c r="AV3" s="16">
        <v>225</v>
      </c>
      <c r="AW3" s="16">
        <v>1728</v>
      </c>
      <c r="AX3" s="16"/>
      <c r="AY3" s="16"/>
      <c r="AZ3" s="16"/>
      <c r="BA3" s="16"/>
      <c r="BB3" s="16"/>
      <c r="BC3" s="16">
        <v>958</v>
      </c>
      <c r="BD3" s="16">
        <v>2855</v>
      </c>
      <c r="BE3" s="16">
        <v>2817</v>
      </c>
      <c r="BF3" s="16">
        <v>30</v>
      </c>
      <c r="BG3" s="16">
        <v>6500</v>
      </c>
      <c r="BH3" s="16">
        <v>10</v>
      </c>
      <c r="BI3" s="16">
        <v>250</v>
      </c>
      <c r="BJ3" s="16">
        <v>2003</v>
      </c>
      <c r="BK3" s="16"/>
      <c r="BL3" s="16"/>
      <c r="BM3" s="16"/>
      <c r="BN3" s="16"/>
      <c r="BO3" s="16"/>
      <c r="BP3" s="16">
        <v>981</v>
      </c>
      <c r="BQ3" s="16">
        <v>2664</v>
      </c>
      <c r="BR3" s="16">
        <v>2692</v>
      </c>
      <c r="BS3" s="16">
        <v>30</v>
      </c>
      <c r="BT3" s="16">
        <v>6500</v>
      </c>
      <c r="BU3" s="16">
        <v>10</v>
      </c>
      <c r="BV3" s="16">
        <v>300</v>
      </c>
      <c r="BW3" s="16">
        <v>1828</v>
      </c>
      <c r="BX3" s="16"/>
      <c r="BY3" s="16"/>
      <c r="BZ3" s="16"/>
      <c r="CA3" s="16"/>
      <c r="CB3" s="16"/>
      <c r="CC3" s="16">
        <v>1130</v>
      </c>
      <c r="CD3" s="16">
        <v>2441</v>
      </c>
      <c r="CE3" s="16">
        <v>3077</v>
      </c>
      <c r="CF3" s="16">
        <v>29</v>
      </c>
      <c r="CG3" s="16">
        <v>6400</v>
      </c>
      <c r="CH3" s="16">
        <v>10</v>
      </c>
      <c r="CI3" s="16">
        <v>250</v>
      </c>
      <c r="CJ3" s="16">
        <v>1728</v>
      </c>
      <c r="CK3" s="16"/>
      <c r="CL3" s="16"/>
      <c r="CM3" s="16"/>
      <c r="CN3" s="16"/>
      <c r="CO3" s="16"/>
      <c r="CP3" s="16">
        <v>1295</v>
      </c>
      <c r="CQ3" s="16">
        <v>3210</v>
      </c>
      <c r="CR3" s="16">
        <v>1576</v>
      </c>
      <c r="CS3" s="16">
        <v>30</v>
      </c>
      <c r="CT3" s="16">
        <v>6500</v>
      </c>
      <c r="CU3" s="16">
        <v>8</v>
      </c>
      <c r="CV3" s="16">
        <v>200</v>
      </c>
      <c r="CW3" s="16">
        <v>1728</v>
      </c>
      <c r="CX3" s="11"/>
      <c r="CY3" s="11"/>
      <c r="CZ3" s="11"/>
      <c r="DA3" s="11"/>
      <c r="DB3" s="11"/>
      <c r="DC3" s="10">
        <v>920</v>
      </c>
      <c r="DD3" s="10">
        <v>2235</v>
      </c>
      <c r="DE3" s="10">
        <v>1010</v>
      </c>
      <c r="DF3" s="10">
        <v>30</v>
      </c>
      <c r="DG3" s="10">
        <v>6500</v>
      </c>
      <c r="DH3" s="10">
        <v>7</v>
      </c>
      <c r="DI3" s="10">
        <v>175</v>
      </c>
      <c r="DJ3" s="10">
        <v>1728</v>
      </c>
      <c r="DK3" s="11"/>
      <c r="DL3" s="11"/>
      <c r="DM3" s="11"/>
      <c r="DN3" s="11"/>
      <c r="DO3" s="11"/>
      <c r="DP3" s="16">
        <v>35</v>
      </c>
      <c r="DQ3" s="16">
        <v>1823</v>
      </c>
      <c r="DR3" s="16">
        <v>1145</v>
      </c>
      <c r="DS3" s="16">
        <v>29</v>
      </c>
      <c r="DT3" s="16">
        <v>6400</v>
      </c>
      <c r="DU3" s="16">
        <v>7</v>
      </c>
      <c r="DV3" s="16">
        <v>175</v>
      </c>
      <c r="DW3" s="16">
        <v>1728</v>
      </c>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5">
        <v>15000</v>
      </c>
      <c r="FD3" s="55">
        <v>37000</v>
      </c>
      <c r="FE3" s="55">
        <v>65000</v>
      </c>
      <c r="FF3" s="55">
        <v>30</v>
      </c>
      <c r="FG3" s="55">
        <v>63000</v>
      </c>
      <c r="FH3" s="55">
        <v>8</v>
      </c>
      <c r="FI3" s="55">
        <v>2000</v>
      </c>
      <c r="FJ3" s="55">
        <v>13500</v>
      </c>
      <c r="FK3" s="55"/>
      <c r="FL3" s="55"/>
      <c r="FM3" s="55"/>
      <c r="FN3" s="55"/>
      <c r="FO3" s="55"/>
      <c r="FQ3" s="124">
        <v>13870</v>
      </c>
      <c r="FR3" s="124">
        <v>36636</v>
      </c>
      <c r="FS3" s="124">
        <v>59117</v>
      </c>
      <c r="FT3" s="124">
        <v>30</v>
      </c>
      <c r="FU3" s="124">
        <v>62888</v>
      </c>
      <c r="FV3" s="124">
        <v>6</v>
      </c>
      <c r="FW3" s="124">
        <v>2538</v>
      </c>
      <c r="FX3" s="124">
        <v>15940</v>
      </c>
      <c r="FY3" s="124"/>
      <c r="FZ3" s="124"/>
      <c r="GA3" s="124"/>
      <c r="GB3" s="124"/>
      <c r="GC3" s="124"/>
    </row>
    <row r="4" spans="1:185" x14ac:dyDescent="0.25">
      <c r="A4" s="29">
        <v>3</v>
      </c>
      <c r="B4" s="27" t="s">
        <v>235</v>
      </c>
      <c r="C4" s="16">
        <v>420</v>
      </c>
      <c r="D4" s="16">
        <v>19</v>
      </c>
      <c r="E4" s="16">
        <v>205</v>
      </c>
      <c r="F4" s="16">
        <v>167</v>
      </c>
      <c r="G4" s="16">
        <v>0</v>
      </c>
      <c r="H4" s="16">
        <v>22</v>
      </c>
      <c r="I4" s="16">
        <v>6</v>
      </c>
      <c r="J4" s="16">
        <v>16</v>
      </c>
      <c r="K4" s="11"/>
      <c r="L4" s="9"/>
      <c r="M4" s="9"/>
      <c r="N4" s="9"/>
      <c r="O4" s="9"/>
      <c r="P4" s="16">
        <v>433</v>
      </c>
      <c r="Q4" s="16">
        <v>19.7</v>
      </c>
      <c r="R4" s="16">
        <v>163</v>
      </c>
      <c r="S4" s="16">
        <v>70</v>
      </c>
      <c r="T4" s="16">
        <v>1</v>
      </c>
      <c r="U4" s="16">
        <v>20</v>
      </c>
      <c r="V4" s="16">
        <v>25</v>
      </c>
      <c r="W4" s="16">
        <v>40</v>
      </c>
      <c r="X4" s="16"/>
      <c r="Y4" s="16"/>
      <c r="Z4" s="16"/>
      <c r="AA4" s="16"/>
      <c r="AB4" s="16"/>
      <c r="AC4" s="16">
        <v>253</v>
      </c>
      <c r="AD4" s="16">
        <v>12.7</v>
      </c>
      <c r="AE4" s="16">
        <v>124</v>
      </c>
      <c r="AF4" s="16">
        <v>88</v>
      </c>
      <c r="AG4" s="16">
        <v>2</v>
      </c>
      <c r="AH4" s="16">
        <v>16</v>
      </c>
      <c r="AI4" s="16">
        <v>21</v>
      </c>
      <c r="AJ4" s="16">
        <v>4</v>
      </c>
      <c r="AK4" s="16"/>
      <c r="AL4" s="16"/>
      <c r="AM4" s="16"/>
      <c r="AN4" s="16"/>
      <c r="AO4" s="16"/>
      <c r="AP4" s="16">
        <v>274</v>
      </c>
      <c r="AQ4" s="16">
        <v>11.9</v>
      </c>
      <c r="AR4" s="16">
        <v>143</v>
      </c>
      <c r="AS4" s="16">
        <v>108</v>
      </c>
      <c r="AT4" s="16">
        <v>2</v>
      </c>
      <c r="AU4" s="16">
        <v>19</v>
      </c>
      <c r="AV4" s="16">
        <v>8</v>
      </c>
      <c r="AW4" s="16">
        <v>4</v>
      </c>
      <c r="AX4" s="16"/>
      <c r="AY4" s="16"/>
      <c r="AZ4" s="16"/>
      <c r="BA4" s="16"/>
      <c r="BB4" s="16"/>
      <c r="BC4" s="16">
        <v>219</v>
      </c>
      <c r="BD4" s="16">
        <v>12.2</v>
      </c>
      <c r="BE4" s="16">
        <v>104</v>
      </c>
      <c r="BF4" s="16">
        <v>82</v>
      </c>
      <c r="BG4" s="16">
        <v>1</v>
      </c>
      <c r="BH4" s="16">
        <v>10</v>
      </c>
      <c r="BI4" s="16">
        <v>12</v>
      </c>
      <c r="BJ4" s="16">
        <v>3</v>
      </c>
      <c r="BK4" s="16"/>
      <c r="BL4" s="16"/>
      <c r="BM4" s="16"/>
      <c r="BN4" s="16"/>
      <c r="BO4" s="16"/>
      <c r="BP4" s="16">
        <v>184</v>
      </c>
      <c r="BQ4" s="16">
        <v>9.6999999999999993</v>
      </c>
      <c r="BR4" s="16">
        <v>90</v>
      </c>
      <c r="BS4" s="16">
        <v>45</v>
      </c>
      <c r="BT4" s="16">
        <v>1</v>
      </c>
      <c r="BU4" s="16">
        <v>8</v>
      </c>
      <c r="BV4" s="16">
        <v>8</v>
      </c>
      <c r="BW4" s="16">
        <v>16</v>
      </c>
      <c r="BX4" s="16"/>
      <c r="BY4" s="16"/>
      <c r="BZ4" s="16"/>
      <c r="CA4" s="16"/>
      <c r="CB4" s="16"/>
      <c r="CC4" s="16">
        <v>211</v>
      </c>
      <c r="CD4" s="16">
        <v>10</v>
      </c>
      <c r="CE4" s="16">
        <v>87</v>
      </c>
      <c r="CF4" s="16">
        <v>38</v>
      </c>
      <c r="CG4" s="16">
        <v>0</v>
      </c>
      <c r="CH4" s="16">
        <v>7</v>
      </c>
      <c r="CI4" s="16">
        <v>32</v>
      </c>
      <c r="CJ4" s="16">
        <v>6</v>
      </c>
      <c r="CK4" s="16"/>
      <c r="CL4" s="16"/>
      <c r="CM4" s="16"/>
      <c r="CN4" s="16"/>
      <c r="CO4" s="16"/>
      <c r="CP4" s="16">
        <v>111</v>
      </c>
      <c r="CQ4" s="16">
        <v>5.6</v>
      </c>
      <c r="CR4" s="16">
        <v>33</v>
      </c>
      <c r="CS4" s="16">
        <v>12</v>
      </c>
      <c r="CT4" s="16">
        <v>1</v>
      </c>
      <c r="CU4" s="16">
        <v>12</v>
      </c>
      <c r="CV4" s="16">
        <v>17</v>
      </c>
      <c r="CW4" s="16">
        <v>13</v>
      </c>
      <c r="CX4" s="11"/>
      <c r="CY4" s="11"/>
      <c r="CZ4" s="11"/>
      <c r="DA4" s="11"/>
      <c r="DB4" s="11"/>
      <c r="DC4" s="16">
        <v>200</v>
      </c>
      <c r="DD4" s="16">
        <v>9</v>
      </c>
      <c r="DE4" s="16">
        <v>78</v>
      </c>
      <c r="DF4" s="16">
        <v>12</v>
      </c>
      <c r="DG4" s="16">
        <v>3</v>
      </c>
      <c r="DH4" s="16">
        <v>14</v>
      </c>
      <c r="DI4" s="16">
        <v>17</v>
      </c>
      <c r="DJ4" s="16">
        <v>40</v>
      </c>
      <c r="DK4" s="16"/>
      <c r="DL4" s="16"/>
      <c r="DM4" s="11"/>
      <c r="DN4" s="11"/>
      <c r="DO4" s="11"/>
      <c r="DP4" s="16">
        <v>70</v>
      </c>
      <c r="DQ4" s="16">
        <v>3.3</v>
      </c>
      <c r="DR4" s="16">
        <v>5</v>
      </c>
      <c r="DS4" s="16">
        <v>0</v>
      </c>
      <c r="DT4" s="16">
        <v>0</v>
      </c>
      <c r="DU4" s="16">
        <v>12</v>
      </c>
      <c r="DV4" s="16">
        <v>2</v>
      </c>
      <c r="DW4" s="16">
        <v>4</v>
      </c>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5">
        <v>3000</v>
      </c>
      <c r="FD4" s="55">
        <v>12.5</v>
      </c>
      <c r="FE4" s="55">
        <v>1575</v>
      </c>
      <c r="FF4" s="55">
        <v>700</v>
      </c>
      <c r="FG4" s="55">
        <v>15</v>
      </c>
      <c r="FH4" s="55">
        <v>120</v>
      </c>
      <c r="FI4" s="55">
        <v>175</v>
      </c>
      <c r="FJ4" s="55">
        <v>350</v>
      </c>
      <c r="FK4" s="55"/>
      <c r="FL4" s="55"/>
      <c r="FM4" s="55"/>
      <c r="FN4" s="55"/>
      <c r="FO4" s="55"/>
      <c r="FQ4" s="124">
        <v>3076</v>
      </c>
      <c r="FR4" s="124">
        <v>12.45</v>
      </c>
      <c r="FS4" s="124">
        <v>1504</v>
      </c>
      <c r="FT4" s="124">
        <v>701</v>
      </c>
      <c r="FU4" s="124">
        <v>11</v>
      </c>
      <c r="FV4" s="124">
        <v>136</v>
      </c>
      <c r="FW4" s="124">
        <v>199</v>
      </c>
      <c r="FX4" s="124">
        <v>361</v>
      </c>
      <c r="FY4" s="124"/>
      <c r="FZ4" s="124"/>
      <c r="GA4" s="124"/>
      <c r="GB4" s="124"/>
      <c r="GC4" s="124"/>
    </row>
    <row r="5" spans="1:185" x14ac:dyDescent="0.25">
      <c r="A5" s="29">
        <v>4</v>
      </c>
      <c r="B5" s="27" t="s">
        <v>5</v>
      </c>
      <c r="C5" s="10">
        <v>39910</v>
      </c>
      <c r="D5" s="10">
        <v>5004</v>
      </c>
      <c r="E5" s="10">
        <v>193</v>
      </c>
      <c r="F5" s="10">
        <v>170</v>
      </c>
      <c r="G5" s="16"/>
      <c r="H5" s="16"/>
      <c r="I5" s="16"/>
      <c r="J5" s="16"/>
      <c r="K5" s="16"/>
      <c r="L5" s="10"/>
      <c r="M5" s="10"/>
      <c r="N5" s="10"/>
      <c r="O5" s="10"/>
      <c r="P5" s="10">
        <v>40009</v>
      </c>
      <c r="Q5" s="10">
        <v>4318</v>
      </c>
      <c r="R5" s="10">
        <v>265</v>
      </c>
      <c r="S5" s="10">
        <v>163</v>
      </c>
      <c r="T5" s="16"/>
      <c r="U5" s="10"/>
      <c r="V5" s="10"/>
      <c r="W5" s="10"/>
      <c r="X5" s="10"/>
      <c r="Y5" s="10"/>
      <c r="Z5" s="10"/>
      <c r="AA5" s="10"/>
      <c r="AB5" s="10"/>
      <c r="AC5" s="10">
        <v>40094</v>
      </c>
      <c r="AD5" s="10">
        <v>1727</v>
      </c>
      <c r="AE5" s="10">
        <v>210</v>
      </c>
      <c r="AF5" s="10">
        <v>127</v>
      </c>
      <c r="AG5" s="10"/>
      <c r="AH5" s="10"/>
      <c r="AI5" s="10"/>
      <c r="AJ5" s="10"/>
      <c r="AK5" s="10"/>
      <c r="AL5" s="10"/>
      <c r="AM5" s="10"/>
      <c r="AN5" s="10"/>
      <c r="AO5" s="10"/>
      <c r="AP5" s="10">
        <v>40376</v>
      </c>
      <c r="AQ5" s="10">
        <v>1432</v>
      </c>
      <c r="AR5" s="10">
        <v>375</v>
      </c>
      <c r="AS5" s="10">
        <v>127</v>
      </c>
      <c r="AT5" s="10"/>
      <c r="AU5" s="10"/>
      <c r="AV5" s="10"/>
      <c r="AW5" s="10"/>
      <c r="AX5" s="10"/>
      <c r="AY5" s="10"/>
      <c r="AZ5" s="10"/>
      <c r="BA5" s="10"/>
      <c r="BB5" s="10"/>
      <c r="BC5" s="10">
        <v>40467</v>
      </c>
      <c r="BD5" s="10">
        <v>2986</v>
      </c>
      <c r="BE5" s="10">
        <v>202</v>
      </c>
      <c r="BF5" s="10">
        <v>102</v>
      </c>
      <c r="BG5" s="10"/>
      <c r="BH5" s="10"/>
      <c r="BI5" s="10"/>
      <c r="BJ5" s="10"/>
      <c r="BK5" s="10"/>
      <c r="BL5" s="10"/>
      <c r="BM5" s="10"/>
      <c r="BN5" s="10"/>
      <c r="BO5" s="10"/>
      <c r="BP5" s="10">
        <v>40571</v>
      </c>
      <c r="BQ5" s="10">
        <v>5608</v>
      </c>
      <c r="BR5" s="10">
        <v>220</v>
      </c>
      <c r="BS5" s="10">
        <v>133</v>
      </c>
      <c r="BT5" s="10"/>
      <c r="BU5" s="10"/>
      <c r="BV5" s="10"/>
      <c r="BW5" s="10">
        <v>7</v>
      </c>
      <c r="BX5" s="10"/>
      <c r="BY5" s="10"/>
      <c r="BZ5" s="10"/>
      <c r="CA5" s="10"/>
      <c r="CB5" s="10"/>
      <c r="CC5" s="10">
        <v>41023</v>
      </c>
      <c r="CD5" s="10">
        <v>2352</v>
      </c>
      <c r="CE5" s="10">
        <v>605</v>
      </c>
      <c r="CF5" s="10">
        <v>167</v>
      </c>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5">
        <v>40500</v>
      </c>
      <c r="FD5" s="55">
        <v>40000</v>
      </c>
      <c r="FE5" s="55">
        <v>2500</v>
      </c>
      <c r="FF5" s="55">
        <v>2000</v>
      </c>
      <c r="FG5" s="55">
        <v>50</v>
      </c>
      <c r="FH5" s="55">
        <v>60</v>
      </c>
      <c r="FI5" s="55">
        <v>6</v>
      </c>
      <c r="FJ5" s="55">
        <v>350</v>
      </c>
      <c r="FK5" s="55"/>
      <c r="FL5" s="55"/>
      <c r="FM5" s="55"/>
      <c r="FN5" s="55"/>
      <c r="FO5" s="55"/>
      <c r="FQ5" s="124">
        <v>39873</v>
      </c>
      <c r="FR5" s="124">
        <v>48486</v>
      </c>
      <c r="FS5" s="124">
        <v>2662</v>
      </c>
      <c r="FT5" s="124">
        <v>4494</v>
      </c>
      <c r="FU5" s="124">
        <v>40.85</v>
      </c>
      <c r="FV5" s="124">
        <v>54.12</v>
      </c>
      <c r="FW5" s="124">
        <v>6</v>
      </c>
      <c r="FX5" s="124">
        <v>147</v>
      </c>
      <c r="FY5" s="124"/>
      <c r="FZ5" s="124"/>
      <c r="GA5" s="124"/>
      <c r="GB5" s="124"/>
      <c r="GC5" s="124"/>
    </row>
    <row r="6" spans="1:185" x14ac:dyDescent="0.25">
      <c r="A6" s="29">
        <v>5</v>
      </c>
      <c r="B6" s="27" t="s">
        <v>422</v>
      </c>
      <c r="C6" s="10">
        <v>1742</v>
      </c>
      <c r="D6" s="10">
        <v>2.88</v>
      </c>
      <c r="E6" s="10">
        <v>409</v>
      </c>
      <c r="F6" s="10">
        <v>0.68</v>
      </c>
      <c r="G6" s="16">
        <v>3</v>
      </c>
      <c r="H6" s="16"/>
      <c r="I6" s="16"/>
      <c r="J6" s="16"/>
      <c r="K6" s="16"/>
      <c r="L6" s="10"/>
      <c r="M6" s="10"/>
      <c r="N6" s="10"/>
      <c r="O6" s="10"/>
      <c r="P6" s="10">
        <v>1767</v>
      </c>
      <c r="Q6" s="10">
        <v>2.92</v>
      </c>
      <c r="R6" s="10">
        <v>478</v>
      </c>
      <c r="S6" s="10">
        <v>0.79</v>
      </c>
      <c r="T6" s="16">
        <v>2.0499999999999998</v>
      </c>
      <c r="U6" s="10"/>
      <c r="V6" s="10"/>
      <c r="W6" s="10"/>
      <c r="X6" s="10"/>
      <c r="Y6" s="10"/>
      <c r="Z6" s="10"/>
      <c r="AA6" s="10"/>
      <c r="AB6" s="10"/>
      <c r="AC6" s="10">
        <v>1672</v>
      </c>
      <c r="AD6" s="10">
        <v>3.04</v>
      </c>
      <c r="AE6" s="10">
        <v>403</v>
      </c>
      <c r="AF6" s="10">
        <v>0.73</v>
      </c>
      <c r="AG6" s="10">
        <v>1.5</v>
      </c>
      <c r="AH6" s="10"/>
      <c r="AI6" s="10"/>
      <c r="AJ6" s="10"/>
      <c r="AK6" s="10"/>
      <c r="AL6" s="10"/>
      <c r="AM6" s="10"/>
      <c r="AN6" s="10"/>
      <c r="AO6" s="10"/>
      <c r="AP6" s="10">
        <v>1958</v>
      </c>
      <c r="AQ6" s="10">
        <v>3.1</v>
      </c>
      <c r="AR6" s="10">
        <v>470</v>
      </c>
      <c r="AS6" s="10">
        <v>0.74</v>
      </c>
      <c r="AT6" s="10">
        <v>2.5</v>
      </c>
      <c r="AU6" s="10"/>
      <c r="AV6" s="10"/>
      <c r="AW6" s="10"/>
      <c r="AX6" s="10"/>
      <c r="AY6" s="10"/>
      <c r="AZ6" s="10"/>
      <c r="BA6" s="10"/>
      <c r="BB6" s="10"/>
      <c r="BC6" s="10">
        <v>1479</v>
      </c>
      <c r="BD6" s="10">
        <v>2.98</v>
      </c>
      <c r="BE6" s="10">
        <v>295</v>
      </c>
      <c r="BF6" s="10">
        <v>0.6</v>
      </c>
      <c r="BG6" s="10">
        <v>1.35</v>
      </c>
      <c r="BH6" s="10"/>
      <c r="BI6" s="10"/>
      <c r="BJ6" s="10"/>
      <c r="BK6" s="10"/>
      <c r="BL6" s="10"/>
      <c r="BM6" s="10"/>
      <c r="BN6" s="10"/>
      <c r="BO6" s="10"/>
      <c r="BP6" s="10">
        <v>1453</v>
      </c>
      <c r="BQ6" s="10">
        <v>2.89</v>
      </c>
      <c r="BR6" s="10">
        <v>323</v>
      </c>
      <c r="BS6" s="10">
        <v>0.64</v>
      </c>
      <c r="BT6" s="10">
        <v>0.15</v>
      </c>
      <c r="BU6" s="10"/>
      <c r="BV6" s="10"/>
      <c r="BW6" s="10"/>
      <c r="BX6" s="10"/>
      <c r="BY6" s="10"/>
      <c r="BZ6" s="10"/>
      <c r="CA6" s="10"/>
      <c r="CB6" s="10"/>
      <c r="CC6" s="10">
        <v>1567</v>
      </c>
      <c r="CD6" s="10">
        <v>2.82</v>
      </c>
      <c r="CE6" s="10">
        <v>434</v>
      </c>
      <c r="CF6" s="10">
        <v>0.78</v>
      </c>
      <c r="CG6" s="10">
        <v>0.55000000000000004</v>
      </c>
      <c r="CH6" s="10"/>
      <c r="CI6" s="10"/>
      <c r="CJ6" s="10"/>
      <c r="CK6" s="10"/>
      <c r="CL6" s="10"/>
      <c r="CM6" s="10"/>
      <c r="CN6" s="10"/>
      <c r="CO6" s="10"/>
      <c r="CP6" s="10">
        <v>1536</v>
      </c>
      <c r="CQ6" s="10">
        <v>2.9</v>
      </c>
      <c r="CR6" s="10">
        <v>347</v>
      </c>
      <c r="CS6" s="10">
        <v>0.65</v>
      </c>
      <c r="CT6" s="10">
        <v>0.1</v>
      </c>
      <c r="CU6" s="10"/>
      <c r="CV6" s="10"/>
      <c r="CW6" s="10"/>
      <c r="CX6" s="10"/>
      <c r="CY6" s="10"/>
      <c r="CZ6" s="10"/>
      <c r="DA6" s="10"/>
      <c r="DB6" s="10"/>
      <c r="DC6" s="10">
        <v>1868</v>
      </c>
      <c r="DD6" s="10">
        <v>3.77</v>
      </c>
      <c r="DE6" s="10">
        <v>236</v>
      </c>
      <c r="DF6" s="10">
        <v>0.48</v>
      </c>
      <c r="DG6" s="10">
        <v>0.15</v>
      </c>
      <c r="DH6" s="10"/>
      <c r="DI6" s="10"/>
      <c r="DJ6" s="10"/>
      <c r="DK6" s="10"/>
      <c r="DL6" s="10"/>
      <c r="DM6" s="10"/>
      <c r="DN6" s="10"/>
      <c r="DO6" s="10"/>
      <c r="DP6" s="10">
        <v>1860</v>
      </c>
      <c r="DQ6" s="10">
        <v>5.9</v>
      </c>
      <c r="DR6" s="10">
        <v>0</v>
      </c>
      <c r="DS6" s="10">
        <v>0</v>
      </c>
      <c r="DT6" s="10">
        <v>0.5</v>
      </c>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5">
        <v>20000</v>
      </c>
      <c r="FD6" s="55">
        <v>4</v>
      </c>
      <c r="FE6" s="55">
        <v>3900</v>
      </c>
      <c r="FF6" s="55">
        <v>0.7</v>
      </c>
      <c r="FG6" s="55">
        <v>20</v>
      </c>
      <c r="FH6" s="55"/>
      <c r="FI6" s="55"/>
      <c r="FJ6" s="55"/>
      <c r="FK6" s="55"/>
      <c r="FL6" s="55"/>
      <c r="FM6" s="55"/>
      <c r="FN6" s="55"/>
      <c r="FO6" s="55"/>
      <c r="FQ6" s="124">
        <v>20832</v>
      </c>
      <c r="FR6" s="124">
        <v>3.04</v>
      </c>
      <c r="FS6" s="124">
        <v>4177</v>
      </c>
      <c r="FT6" s="124">
        <v>0.61</v>
      </c>
      <c r="FU6" s="124">
        <v>12</v>
      </c>
      <c r="FV6" s="124"/>
      <c r="FW6" s="124"/>
      <c r="FX6" s="124"/>
      <c r="FY6" s="124"/>
      <c r="FZ6" s="124"/>
      <c r="GA6" s="124"/>
      <c r="GB6" s="124"/>
      <c r="GC6" s="124"/>
    </row>
    <row r="7" spans="1:185" ht="14.4" customHeight="1" x14ac:dyDescent="0.25">
      <c r="A7" s="29">
        <v>6</v>
      </c>
      <c r="B7" s="27" t="s">
        <v>479</v>
      </c>
      <c r="C7" s="10">
        <v>3</v>
      </c>
      <c r="D7" s="10">
        <v>16</v>
      </c>
      <c r="E7" s="10">
        <v>8</v>
      </c>
      <c r="F7" s="10">
        <v>2</v>
      </c>
      <c r="G7" s="16">
        <v>6</v>
      </c>
      <c r="H7" s="16">
        <v>2</v>
      </c>
      <c r="I7" s="16">
        <v>0</v>
      </c>
      <c r="J7" s="16">
        <v>0</v>
      </c>
      <c r="K7" s="16">
        <v>0</v>
      </c>
      <c r="L7" s="10"/>
      <c r="M7" s="10"/>
      <c r="N7" s="10"/>
      <c r="O7" s="10"/>
      <c r="P7" s="10">
        <v>0</v>
      </c>
      <c r="Q7" s="10">
        <v>16</v>
      </c>
      <c r="R7" s="10">
        <v>2</v>
      </c>
      <c r="S7" s="10">
        <v>1</v>
      </c>
      <c r="T7" s="16">
        <v>7</v>
      </c>
      <c r="U7" s="10">
        <v>3</v>
      </c>
      <c r="V7" s="10">
        <v>0</v>
      </c>
      <c r="W7" s="10">
        <v>0</v>
      </c>
      <c r="X7" s="10">
        <v>0</v>
      </c>
      <c r="Y7" s="10"/>
      <c r="Z7" s="10"/>
      <c r="AA7" s="10"/>
      <c r="AB7" s="10"/>
      <c r="AC7" s="10">
        <v>1</v>
      </c>
      <c r="AD7" s="10">
        <v>15</v>
      </c>
      <c r="AE7" s="10">
        <v>6</v>
      </c>
      <c r="AF7" s="10">
        <v>0</v>
      </c>
      <c r="AG7" s="10">
        <v>5</v>
      </c>
      <c r="AH7" s="10">
        <v>3</v>
      </c>
      <c r="AI7" s="10">
        <v>1</v>
      </c>
      <c r="AJ7" s="10">
        <v>5</v>
      </c>
      <c r="AK7" s="10">
        <v>1.2</v>
      </c>
      <c r="AL7" s="10"/>
      <c r="AM7" s="10"/>
      <c r="AN7" s="10"/>
      <c r="AO7" s="10"/>
      <c r="AP7" s="10">
        <v>1</v>
      </c>
      <c r="AQ7" s="10">
        <v>11</v>
      </c>
      <c r="AR7" s="10">
        <v>5</v>
      </c>
      <c r="AS7" s="10">
        <v>2</v>
      </c>
      <c r="AT7" s="10">
        <v>4</v>
      </c>
      <c r="AU7" s="10">
        <v>3</v>
      </c>
      <c r="AV7" s="10">
        <v>0</v>
      </c>
      <c r="AW7" s="10">
        <v>0</v>
      </c>
      <c r="AX7" s="10">
        <v>0</v>
      </c>
      <c r="AY7" s="10"/>
      <c r="AZ7" s="10"/>
      <c r="BA7" s="10"/>
      <c r="BB7" s="10"/>
      <c r="BC7" s="10">
        <v>0</v>
      </c>
      <c r="BD7" s="10">
        <v>11</v>
      </c>
      <c r="BE7" s="10">
        <v>3</v>
      </c>
      <c r="BF7" s="10">
        <v>0</v>
      </c>
      <c r="BG7" s="10">
        <v>7</v>
      </c>
      <c r="BH7" s="10">
        <v>3</v>
      </c>
      <c r="BI7" s="10">
        <v>0</v>
      </c>
      <c r="BJ7" s="10">
        <v>0</v>
      </c>
      <c r="BK7" s="10">
        <v>0</v>
      </c>
      <c r="BL7" s="10"/>
      <c r="BM7" s="10"/>
      <c r="BN7" s="10"/>
      <c r="BO7" s="10"/>
      <c r="BP7" s="10">
        <v>0</v>
      </c>
      <c r="BQ7" s="10">
        <v>11</v>
      </c>
      <c r="BR7" s="10">
        <v>2</v>
      </c>
      <c r="BS7" s="10">
        <v>1</v>
      </c>
      <c r="BT7" s="10">
        <v>5</v>
      </c>
      <c r="BU7" s="10">
        <v>2</v>
      </c>
      <c r="BV7" s="10">
        <v>0</v>
      </c>
      <c r="BW7" s="10">
        <v>0</v>
      </c>
      <c r="BX7" s="10">
        <v>0</v>
      </c>
      <c r="BY7" s="10"/>
      <c r="BZ7" s="10"/>
      <c r="CA7" s="10"/>
      <c r="CB7" s="10"/>
      <c r="CC7" s="10">
        <v>0</v>
      </c>
      <c r="CD7" s="10">
        <v>10</v>
      </c>
      <c r="CE7" s="10">
        <v>5</v>
      </c>
      <c r="CF7" s="10">
        <v>2</v>
      </c>
      <c r="CG7" s="10">
        <v>6</v>
      </c>
      <c r="CH7" s="10">
        <v>5</v>
      </c>
      <c r="CI7" s="10">
        <v>0</v>
      </c>
      <c r="CJ7" s="10">
        <v>0</v>
      </c>
      <c r="CK7" s="10">
        <v>0</v>
      </c>
      <c r="CL7" s="10"/>
      <c r="CM7" s="10"/>
      <c r="CN7" s="10"/>
      <c r="CO7" s="10"/>
      <c r="CP7" s="10">
        <v>1</v>
      </c>
      <c r="CQ7" s="10">
        <v>11</v>
      </c>
      <c r="CR7" s="10">
        <v>0</v>
      </c>
      <c r="CS7" s="10">
        <v>1</v>
      </c>
      <c r="CT7" s="10">
        <v>5</v>
      </c>
      <c r="CU7" s="10">
        <v>4</v>
      </c>
      <c r="CV7" s="10">
        <v>0</v>
      </c>
      <c r="CW7" s="10">
        <v>0</v>
      </c>
      <c r="CX7" s="10">
        <v>0</v>
      </c>
      <c r="CY7" s="10"/>
      <c r="CZ7" s="10"/>
      <c r="DA7" s="10"/>
      <c r="DB7" s="10"/>
      <c r="DC7" s="10">
        <v>0</v>
      </c>
      <c r="DD7" s="10">
        <v>11</v>
      </c>
      <c r="DE7" s="10">
        <v>6</v>
      </c>
      <c r="DF7" s="10">
        <v>1</v>
      </c>
      <c r="DG7" s="10">
        <v>6</v>
      </c>
      <c r="DH7" s="10">
        <v>2</v>
      </c>
      <c r="DI7" s="10">
        <v>0</v>
      </c>
      <c r="DJ7" s="10">
        <v>0</v>
      </c>
      <c r="DK7" s="10">
        <v>0</v>
      </c>
      <c r="DL7" s="10"/>
      <c r="DM7" s="10"/>
      <c r="DN7" s="10"/>
      <c r="DO7" s="10"/>
      <c r="DP7" s="10">
        <v>2</v>
      </c>
      <c r="DQ7" s="33">
        <v>12</v>
      </c>
      <c r="DR7" s="33">
        <v>5</v>
      </c>
      <c r="DS7" s="10">
        <v>0</v>
      </c>
      <c r="DT7" s="10">
        <v>7</v>
      </c>
      <c r="DU7" s="10">
        <v>6</v>
      </c>
      <c r="DV7" s="10">
        <v>0</v>
      </c>
      <c r="DW7" s="10">
        <v>0</v>
      </c>
      <c r="DX7" s="10">
        <v>0</v>
      </c>
      <c r="DY7" s="10"/>
      <c r="DZ7" s="10"/>
      <c r="EA7" s="10"/>
      <c r="EB7" s="10"/>
      <c r="EC7" s="33"/>
      <c r="ED7" s="33"/>
      <c r="EE7" s="33"/>
      <c r="EF7" s="33"/>
      <c r="EG7" s="33"/>
      <c r="EH7" s="33"/>
      <c r="EI7" s="33">
        <v>3</v>
      </c>
      <c r="EJ7" s="33">
        <v>428</v>
      </c>
      <c r="EK7" s="33">
        <v>347.9</v>
      </c>
      <c r="EL7" s="33"/>
      <c r="EM7" s="33"/>
      <c r="EN7" s="10"/>
      <c r="EO7" s="10"/>
      <c r="EP7" s="10"/>
      <c r="EQ7" s="10"/>
      <c r="ER7" s="10"/>
      <c r="ES7" s="10"/>
      <c r="ET7" s="10"/>
      <c r="EU7" s="10"/>
      <c r="EV7" s="10"/>
      <c r="EW7" s="10"/>
      <c r="EX7" s="10"/>
      <c r="EY7" s="10"/>
      <c r="EZ7" s="10"/>
      <c r="FA7" s="10"/>
      <c r="FB7" s="10"/>
      <c r="FC7" s="55">
        <v>25</v>
      </c>
      <c r="FD7" s="55">
        <v>15</v>
      </c>
      <c r="FE7" s="55">
        <v>50</v>
      </c>
      <c r="FF7" s="55">
        <v>20</v>
      </c>
      <c r="FG7" s="55">
        <v>55</v>
      </c>
      <c r="FH7" s="55">
        <v>30</v>
      </c>
      <c r="FI7" s="55">
        <v>5</v>
      </c>
      <c r="FJ7" s="55">
        <v>200</v>
      </c>
      <c r="FK7" s="55">
        <v>10</v>
      </c>
      <c r="FL7" s="55"/>
      <c r="FM7" s="55"/>
      <c r="FN7" s="55"/>
      <c r="FO7" s="55"/>
      <c r="FQ7" s="124">
        <v>18</v>
      </c>
      <c r="FR7" s="124">
        <v>13</v>
      </c>
      <c r="FS7" s="124">
        <v>53</v>
      </c>
      <c r="FT7" s="124">
        <v>15</v>
      </c>
      <c r="FU7" s="124">
        <v>64</v>
      </c>
      <c r="FV7" s="124">
        <v>23</v>
      </c>
      <c r="FW7" s="124">
        <v>4</v>
      </c>
      <c r="FX7" s="124">
        <v>80</v>
      </c>
      <c r="FY7" s="124">
        <v>7.15</v>
      </c>
      <c r="FZ7" s="124"/>
      <c r="GA7" s="124"/>
      <c r="GB7" s="124"/>
      <c r="GC7" s="124"/>
    </row>
    <row r="8" spans="1:185" x14ac:dyDescent="0.25">
      <c r="A8" s="29">
        <v>7</v>
      </c>
      <c r="B8" s="27" t="s">
        <v>234</v>
      </c>
      <c r="C8" s="10">
        <v>34</v>
      </c>
      <c r="D8" s="10">
        <v>12</v>
      </c>
      <c r="E8" s="10">
        <v>6</v>
      </c>
      <c r="F8" s="10">
        <v>1</v>
      </c>
      <c r="G8" s="16">
        <v>1</v>
      </c>
      <c r="H8" s="16">
        <v>0</v>
      </c>
      <c r="I8" s="16">
        <v>0</v>
      </c>
      <c r="J8" s="16"/>
      <c r="K8" s="16"/>
      <c r="L8" s="10"/>
      <c r="M8" s="10"/>
      <c r="N8" s="10"/>
      <c r="O8" s="10"/>
      <c r="P8" s="10">
        <v>33</v>
      </c>
      <c r="Q8" s="10">
        <v>3</v>
      </c>
      <c r="R8" s="10">
        <v>3</v>
      </c>
      <c r="S8" s="10">
        <v>3</v>
      </c>
      <c r="T8" s="16">
        <v>5</v>
      </c>
      <c r="U8" s="10">
        <v>0</v>
      </c>
      <c r="V8" s="10">
        <v>0</v>
      </c>
      <c r="W8" s="10"/>
      <c r="X8" s="10"/>
      <c r="Y8" s="10"/>
      <c r="Z8" s="10"/>
      <c r="AA8" s="10"/>
      <c r="AB8" s="10"/>
      <c r="AC8" s="10">
        <v>8</v>
      </c>
      <c r="AD8" s="10">
        <v>3</v>
      </c>
      <c r="AE8" s="10">
        <v>6</v>
      </c>
      <c r="AF8" s="10">
        <v>1</v>
      </c>
      <c r="AG8" s="10">
        <v>1</v>
      </c>
      <c r="AH8" s="10">
        <v>0</v>
      </c>
      <c r="AI8" s="10">
        <v>0</v>
      </c>
      <c r="AJ8" s="10"/>
      <c r="AK8" s="10"/>
      <c r="AL8" s="10"/>
      <c r="AM8" s="10"/>
      <c r="AN8" s="10"/>
      <c r="AO8" s="10"/>
      <c r="AP8" s="10">
        <v>29</v>
      </c>
      <c r="AQ8" s="10">
        <v>8</v>
      </c>
      <c r="AR8" s="10">
        <v>6</v>
      </c>
      <c r="AS8" s="10">
        <v>3</v>
      </c>
      <c r="AT8" s="10">
        <v>0</v>
      </c>
      <c r="AU8" s="10">
        <v>0</v>
      </c>
      <c r="AV8" s="10">
        <v>0</v>
      </c>
      <c r="AW8" s="10"/>
      <c r="AX8" s="10"/>
      <c r="AY8" s="10"/>
      <c r="AZ8" s="10"/>
      <c r="BA8" s="10"/>
      <c r="BB8" s="10"/>
      <c r="BC8" s="10">
        <v>29</v>
      </c>
      <c r="BD8" s="10">
        <v>3</v>
      </c>
      <c r="BE8" s="10">
        <v>7</v>
      </c>
      <c r="BF8" s="10">
        <v>1</v>
      </c>
      <c r="BG8" s="10">
        <v>2</v>
      </c>
      <c r="BH8" s="10">
        <v>0</v>
      </c>
      <c r="BI8" s="10">
        <v>0</v>
      </c>
      <c r="BJ8" s="10"/>
      <c r="BK8" s="10"/>
      <c r="BL8" s="10"/>
      <c r="BM8" s="10"/>
      <c r="BN8" s="10"/>
      <c r="BO8" s="10"/>
      <c r="BP8" s="10">
        <v>18</v>
      </c>
      <c r="BQ8" s="10">
        <v>8</v>
      </c>
      <c r="BR8" s="10">
        <v>11</v>
      </c>
      <c r="BS8" s="10">
        <v>3</v>
      </c>
      <c r="BT8" s="10">
        <v>3</v>
      </c>
      <c r="BU8" s="10">
        <v>0</v>
      </c>
      <c r="BV8" s="10">
        <v>0</v>
      </c>
      <c r="BW8" s="10"/>
      <c r="BX8" s="10"/>
      <c r="BY8" s="10"/>
      <c r="BZ8" s="10"/>
      <c r="CA8" s="10"/>
      <c r="CB8" s="10"/>
      <c r="CC8" s="10">
        <v>39</v>
      </c>
      <c r="CD8" s="10">
        <v>5</v>
      </c>
      <c r="CE8" s="10">
        <v>9</v>
      </c>
      <c r="CF8" s="10">
        <v>3</v>
      </c>
      <c r="CG8" s="10">
        <v>3</v>
      </c>
      <c r="CH8" s="10">
        <v>0</v>
      </c>
      <c r="CI8" s="10">
        <v>0</v>
      </c>
      <c r="CJ8" s="10"/>
      <c r="CK8" s="10"/>
      <c r="CL8" s="10"/>
      <c r="CM8" s="10"/>
      <c r="CN8" s="10"/>
      <c r="CO8" s="10"/>
      <c r="CP8" s="10">
        <v>42</v>
      </c>
      <c r="CQ8" s="10">
        <v>9</v>
      </c>
      <c r="CR8" s="10">
        <v>8</v>
      </c>
      <c r="CS8" s="10">
        <v>2</v>
      </c>
      <c r="CT8" s="10">
        <v>1</v>
      </c>
      <c r="CU8" s="10">
        <v>0</v>
      </c>
      <c r="CV8" s="10">
        <v>0</v>
      </c>
      <c r="CW8" s="10"/>
      <c r="CX8" s="10"/>
      <c r="CY8" s="10"/>
      <c r="CZ8" s="10"/>
      <c r="DA8" s="10"/>
      <c r="DB8" s="10"/>
      <c r="DC8" s="10">
        <v>16</v>
      </c>
      <c r="DD8" s="10">
        <v>11</v>
      </c>
      <c r="DE8" s="10">
        <v>10</v>
      </c>
      <c r="DF8" s="10">
        <v>0</v>
      </c>
      <c r="DG8" s="10">
        <v>3</v>
      </c>
      <c r="DH8" s="10">
        <v>1</v>
      </c>
      <c r="DI8" s="10">
        <v>30</v>
      </c>
      <c r="DJ8" s="10"/>
      <c r="DK8" s="10"/>
      <c r="DL8" s="10"/>
      <c r="DM8" s="10"/>
      <c r="DN8" s="10"/>
      <c r="DO8" s="10"/>
      <c r="DP8" s="10">
        <v>16</v>
      </c>
      <c r="DQ8" s="33">
        <v>5</v>
      </c>
      <c r="DR8" s="33">
        <v>10</v>
      </c>
      <c r="DS8" s="10">
        <v>2</v>
      </c>
      <c r="DT8" s="10">
        <v>0</v>
      </c>
      <c r="DU8" s="10">
        <v>0</v>
      </c>
      <c r="DV8" s="10">
        <v>0</v>
      </c>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5">
        <v>500</v>
      </c>
      <c r="FD8" s="55">
        <v>85</v>
      </c>
      <c r="FE8" s="55">
        <v>80</v>
      </c>
      <c r="FF8" s="55">
        <v>20</v>
      </c>
      <c r="FG8" s="55">
        <v>15</v>
      </c>
      <c r="FH8" s="55">
        <v>1</v>
      </c>
      <c r="FI8" s="55">
        <v>50</v>
      </c>
      <c r="FJ8" s="55"/>
      <c r="FK8" s="55"/>
      <c r="FL8" s="55"/>
      <c r="FM8" s="55"/>
      <c r="FN8" s="55"/>
      <c r="FO8" s="55"/>
      <c r="FQ8" s="124">
        <v>509</v>
      </c>
      <c r="FR8" s="124">
        <v>89</v>
      </c>
      <c r="FS8" s="124">
        <v>76</v>
      </c>
      <c r="FT8" s="124">
        <v>22</v>
      </c>
      <c r="FU8" s="124">
        <v>19</v>
      </c>
      <c r="FV8" s="124">
        <v>2</v>
      </c>
      <c r="FW8" s="124">
        <v>92</v>
      </c>
      <c r="FX8" s="124"/>
      <c r="FY8" s="124"/>
      <c r="FZ8" s="124"/>
      <c r="GA8" s="124"/>
      <c r="GB8" s="124"/>
      <c r="GC8" s="124"/>
    </row>
    <row r="9" spans="1:185" x14ac:dyDescent="0.25">
      <c r="A9" s="29">
        <v>8</v>
      </c>
      <c r="B9" s="27" t="s">
        <v>25</v>
      </c>
      <c r="C9" s="10">
        <v>964</v>
      </c>
      <c r="D9" s="10">
        <v>58.57</v>
      </c>
      <c r="E9" s="10">
        <v>1.18</v>
      </c>
      <c r="F9" s="10">
        <v>9.0399999999999991</v>
      </c>
      <c r="G9" s="16">
        <v>497</v>
      </c>
      <c r="H9" s="16">
        <v>33</v>
      </c>
      <c r="I9" s="16"/>
      <c r="J9" s="16">
        <v>35</v>
      </c>
      <c r="K9" s="16">
        <v>32</v>
      </c>
      <c r="L9" s="10">
        <v>30</v>
      </c>
      <c r="M9" s="10">
        <v>34</v>
      </c>
      <c r="N9" s="10">
        <v>31</v>
      </c>
      <c r="O9" s="10">
        <v>35</v>
      </c>
      <c r="P9" s="10">
        <v>970</v>
      </c>
      <c r="Q9" s="10">
        <v>63.1</v>
      </c>
      <c r="R9" s="10">
        <v>1.24</v>
      </c>
      <c r="S9" s="10">
        <v>7.38</v>
      </c>
      <c r="T9" s="16">
        <v>523</v>
      </c>
      <c r="U9" s="10">
        <v>34</v>
      </c>
      <c r="V9" s="10"/>
      <c r="W9" s="10">
        <v>38</v>
      </c>
      <c r="X9" s="10">
        <v>34</v>
      </c>
      <c r="Y9" s="10">
        <v>33</v>
      </c>
      <c r="Z9" s="10">
        <v>35</v>
      </c>
      <c r="AA9" s="10">
        <v>32</v>
      </c>
      <c r="AB9" s="10">
        <v>34</v>
      </c>
      <c r="AC9" s="10">
        <v>826</v>
      </c>
      <c r="AD9" s="10">
        <v>55.28</v>
      </c>
      <c r="AE9" s="10">
        <v>1.18</v>
      </c>
      <c r="AF9" s="10">
        <v>8.59</v>
      </c>
      <c r="AG9" s="10">
        <v>491</v>
      </c>
      <c r="AH9" s="10">
        <v>31</v>
      </c>
      <c r="AI9" s="10"/>
      <c r="AJ9" s="10">
        <v>34</v>
      </c>
      <c r="AK9" s="10">
        <v>31</v>
      </c>
      <c r="AL9" s="10">
        <v>28</v>
      </c>
      <c r="AM9" s="10">
        <v>32</v>
      </c>
      <c r="AN9" s="10">
        <v>30</v>
      </c>
      <c r="AO9" s="10">
        <v>30</v>
      </c>
      <c r="AP9" s="10">
        <v>864</v>
      </c>
      <c r="AQ9" s="10">
        <v>57.16</v>
      </c>
      <c r="AR9" s="10">
        <v>1.29</v>
      </c>
      <c r="AS9" s="10">
        <v>8.5299999999999994</v>
      </c>
      <c r="AT9" s="10">
        <v>379</v>
      </c>
      <c r="AU9" s="10">
        <v>28</v>
      </c>
      <c r="AV9" s="10"/>
      <c r="AW9" s="10">
        <v>34</v>
      </c>
      <c r="AX9" s="10">
        <v>29</v>
      </c>
      <c r="AY9" s="10">
        <v>24</v>
      </c>
      <c r="AZ9" s="10">
        <v>29</v>
      </c>
      <c r="BA9" s="10">
        <v>28</v>
      </c>
      <c r="BB9" s="10">
        <v>27</v>
      </c>
      <c r="BC9" s="10">
        <v>824</v>
      </c>
      <c r="BD9" s="10">
        <v>57.19</v>
      </c>
      <c r="BE9" s="10">
        <v>1.21</v>
      </c>
      <c r="BF9" s="10">
        <v>9.24</v>
      </c>
      <c r="BG9" s="10">
        <v>335</v>
      </c>
      <c r="BH9" s="10">
        <v>27</v>
      </c>
      <c r="BI9" s="10"/>
      <c r="BJ9" s="10">
        <v>32</v>
      </c>
      <c r="BK9" s="10">
        <v>28</v>
      </c>
      <c r="BL9" s="10">
        <v>23</v>
      </c>
      <c r="BM9" s="10">
        <v>27</v>
      </c>
      <c r="BN9" s="10">
        <v>26</v>
      </c>
      <c r="BO9" s="10">
        <v>27</v>
      </c>
      <c r="BP9" s="10">
        <v>871</v>
      </c>
      <c r="BQ9" s="10">
        <v>56.48</v>
      </c>
      <c r="BR9" s="10">
        <v>1.1499999999999999</v>
      </c>
      <c r="BS9" s="10">
        <v>9.06</v>
      </c>
      <c r="BT9" s="10">
        <v>381</v>
      </c>
      <c r="BU9" s="10">
        <v>28</v>
      </c>
      <c r="BV9" s="10"/>
      <c r="BW9" s="10">
        <v>32</v>
      </c>
      <c r="BX9" s="10">
        <v>26</v>
      </c>
      <c r="BY9" s="10">
        <v>25</v>
      </c>
      <c r="BZ9" s="10">
        <v>30</v>
      </c>
      <c r="CA9" s="10">
        <v>29</v>
      </c>
      <c r="CB9" s="10">
        <v>29</v>
      </c>
      <c r="CC9" s="10">
        <v>868</v>
      </c>
      <c r="CD9" s="10">
        <v>51.38</v>
      </c>
      <c r="CE9" s="10">
        <v>1.19</v>
      </c>
      <c r="CF9" s="10">
        <v>9.15</v>
      </c>
      <c r="CG9" s="10">
        <v>380</v>
      </c>
      <c r="CH9" s="10">
        <v>27</v>
      </c>
      <c r="CI9" s="10"/>
      <c r="CJ9" s="10">
        <v>31</v>
      </c>
      <c r="CK9" s="10">
        <v>26</v>
      </c>
      <c r="CL9" s="10">
        <v>24</v>
      </c>
      <c r="CM9" s="10">
        <v>27</v>
      </c>
      <c r="CN9" s="10">
        <v>29</v>
      </c>
      <c r="CO9" s="10">
        <v>26</v>
      </c>
      <c r="CP9" s="10">
        <v>821</v>
      </c>
      <c r="CQ9" s="10">
        <v>55.7</v>
      </c>
      <c r="CR9" s="10">
        <v>1.1599999999999999</v>
      </c>
      <c r="CS9" s="10">
        <v>9.2200000000000006</v>
      </c>
      <c r="CT9" s="10">
        <v>399</v>
      </c>
      <c r="CU9" s="10">
        <v>30</v>
      </c>
      <c r="CV9" s="10"/>
      <c r="CW9" s="10">
        <v>32</v>
      </c>
      <c r="CX9" s="10">
        <v>29</v>
      </c>
      <c r="CY9" s="10">
        <v>30</v>
      </c>
      <c r="CZ9" s="10">
        <v>32</v>
      </c>
      <c r="DA9" s="10">
        <v>29</v>
      </c>
      <c r="DB9" s="10">
        <v>29</v>
      </c>
      <c r="DC9" s="10">
        <v>897</v>
      </c>
      <c r="DD9" s="10">
        <v>48.04</v>
      </c>
      <c r="DE9" s="10">
        <v>1.1399999999999999</v>
      </c>
      <c r="DF9" s="10">
        <v>8.5299999999999994</v>
      </c>
      <c r="DG9" s="10">
        <v>357</v>
      </c>
      <c r="DH9" s="10">
        <v>27</v>
      </c>
      <c r="DI9" s="10"/>
      <c r="DJ9" s="10">
        <v>31</v>
      </c>
      <c r="DK9" s="10">
        <v>29</v>
      </c>
      <c r="DL9" s="10">
        <v>24</v>
      </c>
      <c r="DM9" s="10">
        <v>25</v>
      </c>
      <c r="DN9" s="10">
        <v>24</v>
      </c>
      <c r="DO9" s="10">
        <v>31</v>
      </c>
      <c r="DP9" s="10">
        <v>781</v>
      </c>
      <c r="DQ9" s="10">
        <v>45.06</v>
      </c>
      <c r="DR9" s="10">
        <v>1.17</v>
      </c>
      <c r="DS9" s="10">
        <v>8.2799999999999994</v>
      </c>
      <c r="DT9" s="10">
        <v>281</v>
      </c>
      <c r="DU9" s="10">
        <v>24</v>
      </c>
      <c r="DV9" s="10"/>
      <c r="DW9" s="10">
        <v>28</v>
      </c>
      <c r="DX9" s="10">
        <v>25</v>
      </c>
      <c r="DY9" s="10">
        <v>20</v>
      </c>
      <c r="DZ9" s="10">
        <v>23</v>
      </c>
      <c r="EA9" s="10">
        <v>24</v>
      </c>
      <c r="EB9" s="10">
        <v>22</v>
      </c>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5">
        <v>10500</v>
      </c>
      <c r="FD9" s="55">
        <v>58</v>
      </c>
      <c r="FE9" s="55">
        <v>1.9</v>
      </c>
      <c r="FF9" s="55">
        <v>8</v>
      </c>
      <c r="FG9" s="55">
        <v>5000</v>
      </c>
      <c r="FH9" s="55">
        <v>30</v>
      </c>
      <c r="FI9" s="55">
        <v>0</v>
      </c>
      <c r="FJ9" s="55">
        <v>30</v>
      </c>
      <c r="FK9" s="55">
        <v>30</v>
      </c>
      <c r="FL9" s="55">
        <v>30</v>
      </c>
      <c r="FM9" s="55">
        <v>30</v>
      </c>
      <c r="FN9" s="55">
        <v>30</v>
      </c>
      <c r="FO9" s="55">
        <v>30</v>
      </c>
      <c r="FQ9" s="124">
        <v>11001</v>
      </c>
      <c r="FR9" s="124">
        <v>60.3</v>
      </c>
      <c r="FS9" s="124">
        <v>1.76</v>
      </c>
      <c r="FT9" s="124">
        <v>8.7200000000000006</v>
      </c>
      <c r="FU9" s="124">
        <v>5014</v>
      </c>
      <c r="FV9" s="124">
        <v>31.3</v>
      </c>
      <c r="FW9" s="124"/>
      <c r="FX9" s="124">
        <v>36.200000000000003</v>
      </c>
      <c r="FY9" s="124">
        <v>32</v>
      </c>
      <c r="FZ9" s="124">
        <v>26.7</v>
      </c>
      <c r="GA9" s="124">
        <v>30.8</v>
      </c>
      <c r="GB9" s="124">
        <v>26.8</v>
      </c>
      <c r="GC9" s="124">
        <v>33.799999999999997</v>
      </c>
    </row>
    <row r="10" spans="1:185" x14ac:dyDescent="0.25">
      <c r="A10" s="29">
        <v>9</v>
      </c>
      <c r="B10" s="27" t="s">
        <v>69</v>
      </c>
      <c r="C10" s="10">
        <v>2</v>
      </c>
      <c r="D10" s="10">
        <v>25</v>
      </c>
      <c r="E10" s="10">
        <v>14</v>
      </c>
      <c r="F10" s="10">
        <v>29</v>
      </c>
      <c r="G10" s="16">
        <v>53</v>
      </c>
      <c r="H10" s="16">
        <v>50</v>
      </c>
      <c r="I10" s="16">
        <v>92</v>
      </c>
      <c r="J10" s="16">
        <v>92</v>
      </c>
      <c r="K10" s="16">
        <v>20</v>
      </c>
      <c r="L10" s="10">
        <v>51</v>
      </c>
      <c r="M10" s="10"/>
      <c r="N10" s="10"/>
      <c r="O10" s="10"/>
      <c r="P10" s="10">
        <v>2</v>
      </c>
      <c r="Q10" s="10">
        <v>50</v>
      </c>
      <c r="R10" s="10">
        <v>11</v>
      </c>
      <c r="S10" s="10">
        <v>29</v>
      </c>
      <c r="T10" s="16">
        <v>61</v>
      </c>
      <c r="U10" s="10">
        <v>67</v>
      </c>
      <c r="V10" s="10">
        <v>114</v>
      </c>
      <c r="W10" s="10">
        <v>100</v>
      </c>
      <c r="X10" s="10">
        <v>19</v>
      </c>
      <c r="Y10" s="10">
        <v>30</v>
      </c>
      <c r="Z10" s="10"/>
      <c r="AA10" s="10"/>
      <c r="AB10" s="10"/>
      <c r="AC10" s="10">
        <v>5</v>
      </c>
      <c r="AD10" s="10">
        <v>40</v>
      </c>
      <c r="AE10" s="10">
        <v>4</v>
      </c>
      <c r="AF10" s="10">
        <v>50</v>
      </c>
      <c r="AG10" s="10">
        <v>75</v>
      </c>
      <c r="AH10" s="10">
        <v>80</v>
      </c>
      <c r="AI10" s="10">
        <v>146</v>
      </c>
      <c r="AJ10" s="10">
        <v>55</v>
      </c>
      <c r="AK10" s="10">
        <v>15</v>
      </c>
      <c r="AL10" s="10">
        <v>27</v>
      </c>
      <c r="AM10" s="10"/>
      <c r="AN10" s="10"/>
      <c r="AO10" s="10"/>
      <c r="AP10" s="10">
        <v>5</v>
      </c>
      <c r="AQ10" s="10">
        <v>40</v>
      </c>
      <c r="AR10" s="10">
        <v>4</v>
      </c>
      <c r="AS10" s="10">
        <v>50</v>
      </c>
      <c r="AT10" s="10">
        <v>75</v>
      </c>
      <c r="AU10" s="10">
        <v>80</v>
      </c>
      <c r="AV10" s="10">
        <v>146</v>
      </c>
      <c r="AW10" s="10">
        <v>55</v>
      </c>
      <c r="AX10" s="10">
        <v>15</v>
      </c>
      <c r="AY10" s="10">
        <v>27</v>
      </c>
      <c r="AZ10" s="10"/>
      <c r="BA10" s="10"/>
      <c r="BB10" s="10"/>
      <c r="BC10" s="10">
        <v>2</v>
      </c>
      <c r="BD10" s="10">
        <v>60</v>
      </c>
      <c r="BE10" s="10">
        <v>7</v>
      </c>
      <c r="BF10" s="10">
        <v>33</v>
      </c>
      <c r="BG10" s="10">
        <v>40</v>
      </c>
      <c r="BH10" s="10">
        <v>100</v>
      </c>
      <c r="BI10" s="10">
        <v>113</v>
      </c>
      <c r="BJ10" s="10">
        <v>80</v>
      </c>
      <c r="BK10" s="10">
        <v>9</v>
      </c>
      <c r="BL10" s="10">
        <v>23</v>
      </c>
      <c r="BM10" s="10"/>
      <c r="BN10" s="10"/>
      <c r="BO10" s="10"/>
      <c r="BP10" s="10">
        <v>2</v>
      </c>
      <c r="BQ10" s="10">
        <v>75</v>
      </c>
      <c r="BR10" s="10">
        <v>5</v>
      </c>
      <c r="BS10" s="10">
        <v>20</v>
      </c>
      <c r="BT10" s="10">
        <v>70</v>
      </c>
      <c r="BU10" s="10">
        <v>75</v>
      </c>
      <c r="BV10" s="10">
        <v>82</v>
      </c>
      <c r="BW10" s="10">
        <v>60</v>
      </c>
      <c r="BX10" s="10">
        <v>2</v>
      </c>
      <c r="BY10" s="10">
        <v>14</v>
      </c>
      <c r="BZ10" s="10"/>
      <c r="CA10" s="10"/>
      <c r="CB10" s="10"/>
      <c r="CC10" s="10">
        <v>6</v>
      </c>
      <c r="CD10" s="10">
        <v>35</v>
      </c>
      <c r="CE10" s="10">
        <v>17</v>
      </c>
      <c r="CF10" s="10">
        <v>36</v>
      </c>
      <c r="CG10" s="10">
        <v>59</v>
      </c>
      <c r="CH10" s="10">
        <v>75</v>
      </c>
      <c r="CI10" s="10">
        <v>85</v>
      </c>
      <c r="CJ10" s="10">
        <v>75</v>
      </c>
      <c r="CK10" s="10">
        <v>12</v>
      </c>
      <c r="CL10" s="10">
        <v>14</v>
      </c>
      <c r="CM10" s="10"/>
      <c r="CN10" s="10"/>
      <c r="CO10" s="10"/>
      <c r="CP10" s="10">
        <v>8</v>
      </c>
      <c r="CQ10" s="10">
        <v>35</v>
      </c>
      <c r="CR10" s="10">
        <v>11</v>
      </c>
      <c r="CS10" s="10">
        <v>35</v>
      </c>
      <c r="CT10" s="10">
        <v>42</v>
      </c>
      <c r="CU10" s="10">
        <v>100</v>
      </c>
      <c r="CV10" s="10">
        <v>105</v>
      </c>
      <c r="CW10" s="10">
        <v>100</v>
      </c>
      <c r="CX10" s="10">
        <v>13</v>
      </c>
      <c r="CY10" s="10">
        <v>33</v>
      </c>
      <c r="CZ10" s="10"/>
      <c r="DA10" s="10"/>
      <c r="DB10" s="10"/>
      <c r="DC10" s="10">
        <v>2</v>
      </c>
      <c r="DD10" s="10">
        <v>48</v>
      </c>
      <c r="DE10" s="10">
        <v>23</v>
      </c>
      <c r="DF10" s="10">
        <v>33</v>
      </c>
      <c r="DG10" s="10">
        <v>48</v>
      </c>
      <c r="DH10" s="10">
        <v>66</v>
      </c>
      <c r="DI10" s="10">
        <v>125</v>
      </c>
      <c r="DJ10" s="10">
        <v>100</v>
      </c>
      <c r="DK10" s="10">
        <v>23</v>
      </c>
      <c r="DL10" s="10">
        <v>17</v>
      </c>
      <c r="DM10" s="10"/>
      <c r="DN10" s="10"/>
      <c r="DO10" s="10"/>
      <c r="DP10" s="10">
        <v>6</v>
      </c>
      <c r="DQ10" s="10">
        <v>15</v>
      </c>
      <c r="DR10" s="10">
        <v>26</v>
      </c>
      <c r="DS10" s="10">
        <v>43</v>
      </c>
      <c r="DT10" s="10">
        <v>76</v>
      </c>
      <c r="DU10" s="10">
        <v>100</v>
      </c>
      <c r="DV10" s="10">
        <v>156</v>
      </c>
      <c r="DW10" s="10">
        <v>90</v>
      </c>
      <c r="DX10" s="10">
        <v>23</v>
      </c>
      <c r="DY10" s="10">
        <v>12</v>
      </c>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5">
        <v>60</v>
      </c>
      <c r="FD10" s="55">
        <v>725</v>
      </c>
      <c r="FE10" s="55">
        <v>200</v>
      </c>
      <c r="FF10" s="55">
        <v>360</v>
      </c>
      <c r="FG10" s="55">
        <v>75</v>
      </c>
      <c r="FH10" s="55">
        <v>90</v>
      </c>
      <c r="FI10" s="55">
        <v>1150</v>
      </c>
      <c r="FJ10" s="55">
        <v>95</v>
      </c>
      <c r="FK10" s="55">
        <v>250</v>
      </c>
      <c r="FL10" s="55">
        <v>275</v>
      </c>
      <c r="FM10" s="55"/>
      <c r="FN10" s="55"/>
      <c r="FO10" s="55"/>
      <c r="FQ10" s="124">
        <v>63</v>
      </c>
      <c r="FR10" s="124">
        <v>666</v>
      </c>
      <c r="FS10" s="124">
        <v>163</v>
      </c>
      <c r="FT10" s="124">
        <v>382</v>
      </c>
      <c r="FU10" s="124">
        <v>53.3</v>
      </c>
      <c r="FV10" s="124">
        <v>92</v>
      </c>
      <c r="FW10" s="124">
        <v>1247</v>
      </c>
      <c r="FX10" s="124">
        <v>92.3</v>
      </c>
      <c r="FY10" s="124">
        <v>229</v>
      </c>
      <c r="FZ10" s="124">
        <v>294</v>
      </c>
      <c r="GA10" s="124"/>
      <c r="GB10" s="124"/>
      <c r="GC10" s="124"/>
    </row>
    <row r="11" spans="1:185" x14ac:dyDescent="0.25">
      <c r="A11" s="29">
        <v>10</v>
      </c>
      <c r="B11" s="27" t="s">
        <v>227</v>
      </c>
      <c r="C11" s="10">
        <v>265</v>
      </c>
      <c r="D11" s="10">
        <v>12</v>
      </c>
      <c r="E11" s="10">
        <v>128</v>
      </c>
      <c r="F11" s="10">
        <v>28</v>
      </c>
      <c r="G11" s="16"/>
      <c r="H11" s="16"/>
      <c r="I11" s="16"/>
      <c r="J11" s="16"/>
      <c r="K11" s="16"/>
      <c r="L11" s="10"/>
      <c r="M11" s="10"/>
      <c r="N11" s="10"/>
      <c r="O11" s="10"/>
      <c r="P11" s="10">
        <v>205</v>
      </c>
      <c r="Q11" s="10">
        <v>9.3000000000000007</v>
      </c>
      <c r="R11" s="10">
        <v>189.5</v>
      </c>
      <c r="S11" s="10">
        <v>41.5</v>
      </c>
      <c r="T11" s="16"/>
      <c r="U11" s="10"/>
      <c r="V11" s="10"/>
      <c r="W11" s="10"/>
      <c r="X11" s="10"/>
      <c r="Y11" s="10"/>
      <c r="Z11" s="10"/>
      <c r="AA11" s="10"/>
      <c r="AB11" s="10"/>
      <c r="AC11" s="10">
        <v>248</v>
      </c>
      <c r="AD11" s="10">
        <v>12.4</v>
      </c>
      <c r="AE11" s="10">
        <v>141.5</v>
      </c>
      <c r="AF11" s="10">
        <v>18.5</v>
      </c>
      <c r="AG11" s="10"/>
      <c r="AH11" s="10"/>
      <c r="AI11" s="10"/>
      <c r="AJ11" s="10"/>
      <c r="AK11" s="10"/>
      <c r="AL11" s="10"/>
      <c r="AM11" s="10"/>
      <c r="AN11" s="10"/>
      <c r="AO11" s="10"/>
      <c r="AP11" s="10">
        <v>275</v>
      </c>
      <c r="AQ11" s="10">
        <v>12</v>
      </c>
      <c r="AR11" s="10">
        <v>258</v>
      </c>
      <c r="AS11" s="10">
        <v>5</v>
      </c>
      <c r="AT11" s="10"/>
      <c r="AU11" s="10"/>
      <c r="AV11" s="10"/>
      <c r="AW11" s="10"/>
      <c r="AX11" s="10"/>
      <c r="AY11" s="10"/>
      <c r="AZ11" s="10"/>
      <c r="BA11" s="10"/>
      <c r="BB11" s="10"/>
      <c r="BC11" s="10">
        <v>226</v>
      </c>
      <c r="BD11" s="10">
        <v>12.6</v>
      </c>
      <c r="BE11" s="10">
        <v>164</v>
      </c>
      <c r="BF11" s="10">
        <v>0</v>
      </c>
      <c r="BG11" s="10"/>
      <c r="BH11" s="10"/>
      <c r="BI11" s="10"/>
      <c r="BJ11" s="10"/>
      <c r="BK11" s="10"/>
      <c r="BL11" s="10"/>
      <c r="BM11" s="10"/>
      <c r="BN11" s="10"/>
      <c r="BO11" s="10"/>
      <c r="BP11" s="10">
        <v>207</v>
      </c>
      <c r="BQ11" s="10">
        <v>10.9</v>
      </c>
      <c r="BR11" s="10">
        <v>140</v>
      </c>
      <c r="BS11" s="10">
        <v>28</v>
      </c>
      <c r="BT11" s="10"/>
      <c r="BU11" s="10"/>
      <c r="BV11" s="10"/>
      <c r="BW11" s="10"/>
      <c r="BX11" s="10"/>
      <c r="BY11" s="10"/>
      <c r="BZ11" s="10"/>
      <c r="CA11" s="10"/>
      <c r="CB11" s="10"/>
      <c r="CC11" s="10">
        <v>221</v>
      </c>
      <c r="CD11" s="10">
        <v>10.5</v>
      </c>
      <c r="CE11" s="10">
        <v>175</v>
      </c>
      <c r="CF11" s="10">
        <v>35.5</v>
      </c>
      <c r="CG11" s="10"/>
      <c r="CH11" s="10"/>
      <c r="CI11" s="10"/>
      <c r="CJ11" s="10"/>
      <c r="CK11" s="10"/>
      <c r="CL11" s="10"/>
      <c r="CM11" s="10"/>
      <c r="CN11" s="10"/>
      <c r="CO11" s="10"/>
      <c r="CP11" s="10">
        <v>213</v>
      </c>
      <c r="CQ11" s="10">
        <v>10.7</v>
      </c>
      <c r="CR11" s="10">
        <v>216</v>
      </c>
      <c r="CS11" s="10">
        <v>33</v>
      </c>
      <c r="CT11" s="10"/>
      <c r="CU11" s="10"/>
      <c r="CV11" s="10"/>
      <c r="CW11" s="10"/>
      <c r="CX11" s="10"/>
      <c r="CY11" s="10"/>
      <c r="CZ11" s="10"/>
      <c r="DA11" s="10"/>
      <c r="DB11" s="10"/>
      <c r="DC11" s="10">
        <v>224</v>
      </c>
      <c r="DD11">
        <v>10.199999999999999</v>
      </c>
      <c r="DE11" s="10">
        <v>282.5</v>
      </c>
      <c r="DF11" s="10">
        <v>43</v>
      </c>
      <c r="DG11" s="10"/>
      <c r="DH11" s="10"/>
      <c r="DI11" s="10"/>
      <c r="DJ11" s="10"/>
      <c r="DK11" s="10"/>
      <c r="DL11" s="10"/>
      <c r="DM11" s="10"/>
      <c r="DN11" s="10"/>
      <c r="DO11" s="10"/>
      <c r="DP11" s="10">
        <v>135</v>
      </c>
      <c r="DQ11" s="10">
        <v>6.4</v>
      </c>
      <c r="DR11" s="10">
        <v>210</v>
      </c>
      <c r="DS11" s="10">
        <v>3</v>
      </c>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5">
        <v>2400</v>
      </c>
      <c r="FD11" s="55">
        <v>10</v>
      </c>
      <c r="FE11" s="55">
        <v>2000</v>
      </c>
      <c r="FF11" s="55">
        <v>200</v>
      </c>
      <c r="FG11" s="55"/>
      <c r="FH11" s="55"/>
      <c r="FI11" s="55"/>
      <c r="FJ11" s="55"/>
      <c r="FK11" s="55"/>
      <c r="FL11" s="55"/>
      <c r="FM11" s="55"/>
      <c r="FN11" s="55"/>
      <c r="FO11" s="55"/>
      <c r="FQ11" s="124">
        <v>2681</v>
      </c>
      <c r="FR11" s="124">
        <v>10.8</v>
      </c>
      <c r="FS11" s="124">
        <v>2259</v>
      </c>
      <c r="FT11" s="124">
        <v>234</v>
      </c>
      <c r="FU11" s="124"/>
      <c r="FV11" s="124"/>
      <c r="FW11" s="124"/>
      <c r="FX11" s="124"/>
      <c r="FY11" s="124"/>
      <c r="FZ11" s="124"/>
      <c r="GA11" s="124"/>
      <c r="GB11" s="124"/>
      <c r="GC11" s="124"/>
    </row>
    <row r="12" spans="1:185" x14ac:dyDescent="0.25">
      <c r="A12" s="25">
        <v>11</v>
      </c>
      <c r="B12" s="27" t="s">
        <v>6</v>
      </c>
      <c r="C12" s="10">
        <v>249</v>
      </c>
      <c r="D12" s="10">
        <v>136</v>
      </c>
      <c r="E12" s="10">
        <v>17</v>
      </c>
      <c r="F12" s="10">
        <v>2</v>
      </c>
      <c r="G12" s="16">
        <v>27</v>
      </c>
      <c r="H12" s="16">
        <v>0</v>
      </c>
      <c r="I12" s="16">
        <v>21</v>
      </c>
      <c r="J12" s="16">
        <v>61</v>
      </c>
      <c r="K12" s="16">
        <v>760</v>
      </c>
      <c r="L12" s="10">
        <v>36</v>
      </c>
      <c r="M12" s="10">
        <v>8</v>
      </c>
      <c r="N12" s="10">
        <v>21</v>
      </c>
      <c r="O12" s="10">
        <v>935</v>
      </c>
      <c r="P12" s="10">
        <v>249</v>
      </c>
      <c r="Q12" s="10">
        <v>171</v>
      </c>
      <c r="R12" s="10">
        <v>19</v>
      </c>
      <c r="S12" s="10">
        <v>0</v>
      </c>
      <c r="T12" s="16">
        <v>28</v>
      </c>
      <c r="U12" s="10">
        <v>0</v>
      </c>
      <c r="V12" s="10">
        <v>16</v>
      </c>
      <c r="W12" s="10">
        <v>53</v>
      </c>
      <c r="X12" s="10">
        <v>672</v>
      </c>
      <c r="Y12" s="10">
        <v>33.9</v>
      </c>
      <c r="Z12" s="10">
        <v>13</v>
      </c>
      <c r="AA12" s="10">
        <v>22</v>
      </c>
      <c r="AB12" s="10">
        <v>965</v>
      </c>
      <c r="AC12" s="10">
        <v>195</v>
      </c>
      <c r="AD12" s="10">
        <v>181</v>
      </c>
      <c r="AE12" s="10">
        <v>19</v>
      </c>
      <c r="AF12" s="10">
        <v>0</v>
      </c>
      <c r="AG12" s="10">
        <v>25</v>
      </c>
      <c r="AH12" s="10">
        <v>0</v>
      </c>
      <c r="AI12" s="10">
        <v>14</v>
      </c>
      <c r="AJ12" s="10">
        <v>47</v>
      </c>
      <c r="AK12" s="10">
        <v>627</v>
      </c>
      <c r="AL12" s="10">
        <v>27.9</v>
      </c>
      <c r="AM12" s="10">
        <v>9</v>
      </c>
      <c r="AN12" s="10">
        <v>24</v>
      </c>
      <c r="AO12" s="10">
        <v>993</v>
      </c>
      <c r="AP12" s="10">
        <v>256</v>
      </c>
      <c r="AQ12" s="10">
        <v>559</v>
      </c>
      <c r="AR12" s="10">
        <v>33</v>
      </c>
      <c r="AS12" s="10">
        <v>0</v>
      </c>
      <c r="AT12" s="10">
        <v>25</v>
      </c>
      <c r="AU12" s="10">
        <v>0</v>
      </c>
      <c r="AV12" s="10">
        <v>16</v>
      </c>
      <c r="AW12" s="10">
        <v>68</v>
      </c>
      <c r="AX12" s="10">
        <v>728</v>
      </c>
      <c r="AY12" s="10">
        <v>37.799999999999997</v>
      </c>
      <c r="AZ12" s="10">
        <v>10</v>
      </c>
      <c r="BA12" s="10">
        <v>16</v>
      </c>
      <c r="BB12" s="10">
        <v>1036</v>
      </c>
      <c r="BC12" s="10">
        <v>196</v>
      </c>
      <c r="BD12" s="10">
        <v>251</v>
      </c>
      <c r="BE12" s="10">
        <v>24</v>
      </c>
      <c r="BF12" s="10">
        <v>0</v>
      </c>
      <c r="BG12" s="10">
        <v>26</v>
      </c>
      <c r="BH12" s="10">
        <v>0</v>
      </c>
      <c r="BI12" s="10">
        <v>9</v>
      </c>
      <c r="BJ12" s="10">
        <v>45</v>
      </c>
      <c r="BK12" s="10">
        <v>565</v>
      </c>
      <c r="BL12" s="10">
        <v>31.6</v>
      </c>
      <c r="BM12" s="10">
        <v>6</v>
      </c>
      <c r="BN12" s="10">
        <v>1</v>
      </c>
      <c r="BO12" s="10">
        <v>795</v>
      </c>
      <c r="BP12" s="10">
        <v>181</v>
      </c>
      <c r="BQ12" s="10">
        <v>157</v>
      </c>
      <c r="BR12" s="10">
        <v>17</v>
      </c>
      <c r="BS12" s="10">
        <v>0</v>
      </c>
      <c r="BT12" s="10">
        <v>30</v>
      </c>
      <c r="BU12" s="10">
        <v>0</v>
      </c>
      <c r="BV12" s="10">
        <v>15</v>
      </c>
      <c r="BW12" s="10">
        <v>48</v>
      </c>
      <c r="BX12" s="10">
        <v>680</v>
      </c>
      <c r="BY12" s="10">
        <v>28.9</v>
      </c>
      <c r="BZ12" s="10">
        <v>6</v>
      </c>
      <c r="CA12" s="10">
        <v>1</v>
      </c>
      <c r="CB12" s="10">
        <v>685</v>
      </c>
      <c r="CC12" s="10">
        <v>236</v>
      </c>
      <c r="CD12" s="10">
        <v>225</v>
      </c>
      <c r="CE12" s="10">
        <v>21</v>
      </c>
      <c r="CF12" s="10">
        <v>0</v>
      </c>
      <c r="CG12" s="10">
        <v>23</v>
      </c>
      <c r="CH12" s="10">
        <v>0</v>
      </c>
      <c r="CI12" s="10">
        <v>16</v>
      </c>
      <c r="CJ12" s="10">
        <v>60</v>
      </c>
      <c r="CK12" s="10">
        <v>734</v>
      </c>
      <c r="CL12" s="10">
        <v>33.9</v>
      </c>
      <c r="CM12" s="10">
        <v>11</v>
      </c>
      <c r="CN12" s="10">
        <v>7</v>
      </c>
      <c r="CO12" s="10">
        <v>796</v>
      </c>
      <c r="CP12" s="10">
        <v>262</v>
      </c>
      <c r="CQ12" s="10">
        <v>214</v>
      </c>
      <c r="CR12" s="10">
        <v>24</v>
      </c>
      <c r="CS12" s="10">
        <v>0</v>
      </c>
      <c r="CT12" s="10">
        <v>38</v>
      </c>
      <c r="CU12" s="10">
        <v>0</v>
      </c>
      <c r="CV12" s="10">
        <v>13</v>
      </c>
      <c r="CW12" s="10">
        <v>51</v>
      </c>
      <c r="CX12" s="10">
        <v>636</v>
      </c>
      <c r="CY12" s="10">
        <v>41.8</v>
      </c>
      <c r="CZ12" s="10">
        <v>9</v>
      </c>
      <c r="DA12" s="10">
        <v>6</v>
      </c>
      <c r="DB12" s="10">
        <v>694</v>
      </c>
      <c r="DC12" s="10">
        <v>228</v>
      </c>
      <c r="DD12" s="10">
        <v>183</v>
      </c>
      <c r="DE12" s="10">
        <v>19</v>
      </c>
      <c r="DF12" s="10">
        <v>0</v>
      </c>
      <c r="DG12" s="10">
        <v>22</v>
      </c>
      <c r="DH12" s="10">
        <v>0</v>
      </c>
      <c r="DI12" s="10">
        <v>15</v>
      </c>
      <c r="DJ12" s="10">
        <v>52</v>
      </c>
      <c r="DK12" s="10">
        <v>680</v>
      </c>
      <c r="DL12" s="10">
        <v>23.1</v>
      </c>
      <c r="DM12" s="10">
        <v>11</v>
      </c>
      <c r="DN12" s="10">
        <v>5</v>
      </c>
      <c r="DO12" s="10">
        <v>574</v>
      </c>
      <c r="DP12" s="10">
        <v>148</v>
      </c>
      <c r="DQ12" s="10">
        <v>82</v>
      </c>
      <c r="DR12" s="10">
        <v>10</v>
      </c>
      <c r="DS12" s="10">
        <v>0</v>
      </c>
      <c r="DT12" s="10">
        <v>16</v>
      </c>
      <c r="DU12" s="10">
        <v>0</v>
      </c>
      <c r="DV12" s="10">
        <v>7</v>
      </c>
      <c r="DW12" s="10">
        <v>26</v>
      </c>
      <c r="DX12" s="10">
        <v>565</v>
      </c>
      <c r="DY12" s="10">
        <v>1.1000000000000001</v>
      </c>
      <c r="DZ12" s="10">
        <v>3</v>
      </c>
      <c r="EA12" s="10">
        <v>1</v>
      </c>
      <c r="EB12" s="10">
        <v>265</v>
      </c>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5">
        <v>2350</v>
      </c>
      <c r="FD12" s="55">
        <v>5000</v>
      </c>
      <c r="FE12" s="55">
        <v>23</v>
      </c>
      <c r="FF12" s="55">
        <v>0</v>
      </c>
      <c r="FG12" s="55">
        <v>340</v>
      </c>
      <c r="FH12" s="55">
        <v>0</v>
      </c>
      <c r="FI12" s="55">
        <v>200</v>
      </c>
      <c r="FJ12" s="55">
        <v>775</v>
      </c>
      <c r="FK12" s="55">
        <v>7900</v>
      </c>
      <c r="FL12" s="55">
        <v>30</v>
      </c>
      <c r="FM12" s="55">
        <v>120</v>
      </c>
      <c r="FN12" s="55">
        <v>295</v>
      </c>
      <c r="FO12" s="55">
        <v>9500</v>
      </c>
      <c r="FQ12" s="124">
        <v>2692</v>
      </c>
      <c r="FR12" s="124">
        <v>4352</v>
      </c>
      <c r="FS12" s="124">
        <v>24.5</v>
      </c>
      <c r="FT12" s="124">
        <v>0</v>
      </c>
      <c r="FU12" s="124">
        <v>367</v>
      </c>
      <c r="FV12" s="124">
        <v>0</v>
      </c>
      <c r="FW12" s="124">
        <v>198</v>
      </c>
      <c r="FX12" s="124">
        <v>651</v>
      </c>
      <c r="FY12" s="124">
        <v>7775</v>
      </c>
      <c r="FZ12" s="124">
        <v>34.6</v>
      </c>
      <c r="GA12" s="124">
        <v>124</v>
      </c>
      <c r="GB12" s="124">
        <v>254</v>
      </c>
      <c r="GC12" s="124">
        <v>10703</v>
      </c>
    </row>
    <row r="13" spans="1:185" x14ac:dyDescent="0.25">
      <c r="A13" s="25">
        <v>12</v>
      </c>
      <c r="B13" s="27" t="s">
        <v>428</v>
      </c>
      <c r="C13" s="10">
        <v>4</v>
      </c>
      <c r="D13" s="10">
        <v>10.9</v>
      </c>
      <c r="E13" s="10">
        <v>2</v>
      </c>
      <c r="F13" s="10">
        <v>5.5</v>
      </c>
      <c r="G13" s="16"/>
      <c r="H13" s="16"/>
      <c r="I13" s="16">
        <v>526187</v>
      </c>
      <c r="J13" s="16"/>
      <c r="K13" s="16"/>
      <c r="L13" s="10"/>
      <c r="M13" s="10"/>
      <c r="N13" s="10"/>
      <c r="O13" s="10"/>
      <c r="P13" s="10">
        <v>4</v>
      </c>
      <c r="Q13" s="10">
        <v>10.9</v>
      </c>
      <c r="R13" s="10">
        <v>3</v>
      </c>
      <c r="S13" s="10">
        <v>6.8</v>
      </c>
      <c r="T13" s="16"/>
      <c r="U13" s="10"/>
      <c r="V13" s="10">
        <v>528791</v>
      </c>
      <c r="W13" s="10"/>
      <c r="X13" s="10"/>
      <c r="Y13" s="10"/>
      <c r="Z13" s="10"/>
      <c r="AA13" s="10"/>
      <c r="AB13" s="10"/>
      <c r="AC13" s="10">
        <v>3</v>
      </c>
      <c r="AD13" s="10">
        <v>10</v>
      </c>
      <c r="AE13" s="10">
        <v>2</v>
      </c>
      <c r="AF13" s="10">
        <v>6.4</v>
      </c>
      <c r="AG13" s="10"/>
      <c r="AH13" s="10"/>
      <c r="AI13" s="10">
        <v>416370</v>
      </c>
      <c r="AJ13" s="10"/>
      <c r="AK13" s="10"/>
      <c r="AL13" s="10"/>
      <c r="AM13" s="10"/>
      <c r="AN13" s="10"/>
      <c r="AO13" s="10"/>
      <c r="AP13" s="10">
        <v>2</v>
      </c>
      <c r="AQ13" s="10">
        <v>8.9</v>
      </c>
      <c r="AR13" s="10">
        <v>1</v>
      </c>
      <c r="AS13" s="10">
        <v>5.5</v>
      </c>
      <c r="AT13" s="10"/>
      <c r="AU13" s="10"/>
      <c r="AV13" s="10">
        <v>466135</v>
      </c>
      <c r="AW13" s="10"/>
      <c r="AX13" s="10"/>
      <c r="AY13" s="10"/>
      <c r="AZ13" s="10"/>
      <c r="BA13" s="10"/>
      <c r="BB13" s="10"/>
      <c r="BC13" s="10">
        <v>6</v>
      </c>
      <c r="BD13" s="10">
        <v>10.4</v>
      </c>
      <c r="BE13" s="10">
        <v>4</v>
      </c>
      <c r="BF13" s="10">
        <v>6.5</v>
      </c>
      <c r="BG13" s="10"/>
      <c r="BH13" s="10"/>
      <c r="BI13" s="10">
        <v>353080</v>
      </c>
      <c r="BJ13" s="10"/>
      <c r="BK13" s="10"/>
      <c r="BL13" s="10"/>
      <c r="BM13" s="10"/>
      <c r="BN13" s="10"/>
      <c r="BO13" s="10"/>
      <c r="BP13" s="10">
        <v>3</v>
      </c>
      <c r="BQ13" s="10">
        <v>10</v>
      </c>
      <c r="BR13" s="10">
        <v>2</v>
      </c>
      <c r="BS13" s="10">
        <v>6.4</v>
      </c>
      <c r="BT13" s="10"/>
      <c r="BU13" s="10"/>
      <c r="BV13" s="10">
        <v>416719</v>
      </c>
      <c r="BW13" s="10"/>
      <c r="BX13" s="10"/>
      <c r="BY13" s="10"/>
      <c r="BZ13" s="10"/>
      <c r="CA13" s="10"/>
      <c r="CB13" s="10"/>
      <c r="CC13" s="10">
        <v>4</v>
      </c>
      <c r="CD13" s="10">
        <v>10.1</v>
      </c>
      <c r="CE13" s="10">
        <v>3</v>
      </c>
      <c r="CF13" s="10">
        <v>6.6</v>
      </c>
      <c r="CG13" s="10"/>
      <c r="CH13" s="10"/>
      <c r="CI13" s="10">
        <v>274328</v>
      </c>
      <c r="CJ13" s="10"/>
      <c r="CK13" s="10"/>
      <c r="CL13" s="10"/>
      <c r="CM13" s="10"/>
      <c r="CN13" s="10"/>
      <c r="CO13" s="10"/>
      <c r="CP13" s="10">
        <v>6</v>
      </c>
      <c r="CQ13" s="10">
        <v>10.9</v>
      </c>
      <c r="CR13" s="10">
        <v>4</v>
      </c>
      <c r="CS13" s="10">
        <v>7.2</v>
      </c>
      <c r="CT13" s="10"/>
      <c r="CU13" s="10"/>
      <c r="CV13" s="10">
        <v>366257</v>
      </c>
      <c r="CW13" s="10"/>
      <c r="CX13" s="10"/>
      <c r="CY13" s="10"/>
      <c r="CZ13" s="10"/>
      <c r="DA13" s="10"/>
      <c r="DB13" s="10"/>
      <c r="DC13" s="10">
        <v>6</v>
      </c>
      <c r="DD13" s="10">
        <v>11.5</v>
      </c>
      <c r="DE13" s="10">
        <v>3</v>
      </c>
      <c r="DF13" s="10">
        <v>7.3</v>
      </c>
      <c r="DG13" s="10"/>
      <c r="DH13" s="10"/>
      <c r="DI13" s="10">
        <v>365406</v>
      </c>
      <c r="DJ13" s="10"/>
      <c r="DK13" s="10"/>
      <c r="DL13" s="10"/>
      <c r="DM13" s="10"/>
      <c r="DN13" s="10"/>
      <c r="DO13" s="10"/>
      <c r="DP13" s="10">
        <v>0</v>
      </c>
      <c r="DQ13" s="10">
        <v>10.4</v>
      </c>
      <c r="DR13" s="10">
        <v>0</v>
      </c>
      <c r="DS13" s="10">
        <v>6.5</v>
      </c>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5">
        <v>40</v>
      </c>
      <c r="FD13" s="55">
        <v>9</v>
      </c>
      <c r="FE13" s="55">
        <v>25</v>
      </c>
      <c r="FF13" s="55">
        <v>6.5</v>
      </c>
      <c r="FG13" s="55"/>
      <c r="FH13" s="55"/>
      <c r="FI13" s="55">
        <v>5500000</v>
      </c>
      <c r="FJ13" s="55"/>
      <c r="FK13" s="55"/>
      <c r="FL13" s="55"/>
      <c r="FM13" s="55"/>
      <c r="FN13" s="55"/>
      <c r="FO13" s="55"/>
      <c r="FQ13" s="124">
        <v>54</v>
      </c>
      <c r="FR13" s="124">
        <v>12.3</v>
      </c>
      <c r="FS13" s="124">
        <v>33</v>
      </c>
      <c r="FT13" s="124">
        <v>7.5</v>
      </c>
      <c r="FU13" s="124"/>
      <c r="FV13" s="124"/>
      <c r="FW13" s="124">
        <v>5613880</v>
      </c>
      <c r="FX13" s="124"/>
      <c r="FY13" s="124"/>
      <c r="FZ13" s="124"/>
      <c r="GA13" s="124"/>
      <c r="GB13" s="124"/>
      <c r="GC13" s="124"/>
    </row>
    <row r="14" spans="1:185" x14ac:dyDescent="0.25">
      <c r="A14" s="25">
        <v>13</v>
      </c>
      <c r="B14" s="27" t="s">
        <v>228</v>
      </c>
      <c r="C14" s="10">
        <v>467</v>
      </c>
      <c r="D14" s="10">
        <v>17</v>
      </c>
      <c r="E14" s="10">
        <v>261</v>
      </c>
      <c r="F14" s="10">
        <v>284</v>
      </c>
      <c r="G14" s="16">
        <v>255</v>
      </c>
      <c r="H14" s="16">
        <v>0</v>
      </c>
      <c r="I14" s="16">
        <v>2.59</v>
      </c>
      <c r="J14" s="16">
        <v>58.4</v>
      </c>
      <c r="K14" s="16">
        <v>9.6300000000000008</v>
      </c>
      <c r="L14" s="10">
        <v>340</v>
      </c>
      <c r="M14" s="10">
        <v>100</v>
      </c>
      <c r="N14" s="10"/>
      <c r="O14" s="10"/>
      <c r="P14" s="10">
        <v>524</v>
      </c>
      <c r="Q14" s="10">
        <v>25</v>
      </c>
      <c r="R14" s="10">
        <v>292</v>
      </c>
      <c r="S14" s="10">
        <v>303</v>
      </c>
      <c r="T14" s="16">
        <v>243</v>
      </c>
      <c r="U14" s="10">
        <v>0</v>
      </c>
      <c r="V14" s="10">
        <v>2.8</v>
      </c>
      <c r="W14" s="10">
        <v>63</v>
      </c>
      <c r="X14" s="10">
        <v>11.2</v>
      </c>
      <c r="Y14" s="10">
        <v>404</v>
      </c>
      <c r="Z14" s="10">
        <v>100</v>
      </c>
      <c r="AA14" s="10"/>
      <c r="AB14" s="10"/>
      <c r="AC14" s="10">
        <v>472</v>
      </c>
      <c r="AD14" s="10">
        <v>34</v>
      </c>
      <c r="AE14" s="10">
        <v>305</v>
      </c>
      <c r="AF14" s="10">
        <v>308</v>
      </c>
      <c r="AG14" s="10">
        <v>267</v>
      </c>
      <c r="AH14" s="10">
        <v>0</v>
      </c>
      <c r="AI14" s="10">
        <v>2.31</v>
      </c>
      <c r="AJ14" s="10">
        <v>69.3</v>
      </c>
      <c r="AK14" s="10">
        <v>10.220000000000001</v>
      </c>
      <c r="AL14" s="10">
        <v>386</v>
      </c>
      <c r="AM14" s="10">
        <v>94</v>
      </c>
      <c r="AN14" s="10"/>
      <c r="AO14" s="10"/>
      <c r="AP14" s="10">
        <v>523</v>
      </c>
      <c r="AQ14" s="10">
        <v>44</v>
      </c>
      <c r="AR14" s="10">
        <v>329</v>
      </c>
      <c r="AS14" s="10">
        <v>264</v>
      </c>
      <c r="AT14" s="10">
        <v>290</v>
      </c>
      <c r="AU14" s="10">
        <v>0</v>
      </c>
      <c r="AV14" s="10">
        <v>2.1</v>
      </c>
      <c r="AW14" s="10">
        <v>63.04</v>
      </c>
      <c r="AX14" s="10">
        <v>10.51</v>
      </c>
      <c r="AY14" s="10">
        <v>488</v>
      </c>
      <c r="AZ14" s="10">
        <v>93.75</v>
      </c>
      <c r="BA14" s="10"/>
      <c r="BB14" s="10"/>
      <c r="BC14" s="10">
        <v>438</v>
      </c>
      <c r="BD14" s="10">
        <v>21</v>
      </c>
      <c r="BE14" s="10">
        <v>282</v>
      </c>
      <c r="BF14" s="10">
        <v>213</v>
      </c>
      <c r="BG14" s="10">
        <v>231</v>
      </c>
      <c r="BH14" s="10">
        <v>0</v>
      </c>
      <c r="BI14" s="10">
        <v>2.2000000000000002</v>
      </c>
      <c r="BJ14" s="10">
        <v>65.8</v>
      </c>
      <c r="BK14" s="10">
        <v>5.74</v>
      </c>
      <c r="BL14" s="10">
        <v>361</v>
      </c>
      <c r="BM14" s="10">
        <v>92.8</v>
      </c>
      <c r="BN14" s="10"/>
      <c r="BO14" s="10"/>
      <c r="BP14" s="10">
        <v>389</v>
      </c>
      <c r="BQ14" s="10">
        <v>15</v>
      </c>
      <c r="BR14" s="10">
        <v>262</v>
      </c>
      <c r="BS14" s="10">
        <v>211</v>
      </c>
      <c r="BT14" s="10">
        <v>196</v>
      </c>
      <c r="BU14" s="10">
        <v>0</v>
      </c>
      <c r="BV14" s="10">
        <v>1.88</v>
      </c>
      <c r="BW14" s="10">
        <v>56.5</v>
      </c>
      <c r="BX14" s="10">
        <v>10.43</v>
      </c>
      <c r="BY14" s="10">
        <v>279</v>
      </c>
      <c r="BZ14" s="10">
        <v>100</v>
      </c>
      <c r="CA14" s="10"/>
      <c r="CB14" s="10"/>
      <c r="CC14" s="10">
        <v>421</v>
      </c>
      <c r="CD14" s="10">
        <v>34</v>
      </c>
      <c r="CE14" s="10">
        <v>312</v>
      </c>
      <c r="CF14" s="10">
        <v>256</v>
      </c>
      <c r="CG14" s="10">
        <v>228</v>
      </c>
      <c r="CH14" s="10">
        <v>0</v>
      </c>
      <c r="CI14" s="10">
        <v>1.99</v>
      </c>
      <c r="CJ14" s="10">
        <v>59.8</v>
      </c>
      <c r="CK14" s="10">
        <v>7.97</v>
      </c>
      <c r="CL14" s="10">
        <v>420</v>
      </c>
      <c r="CM14" s="10">
        <v>93.3</v>
      </c>
      <c r="CN14" s="10"/>
      <c r="CO14" s="10"/>
      <c r="CP14" s="10">
        <v>326</v>
      </c>
      <c r="CQ14" s="10">
        <v>29</v>
      </c>
      <c r="CR14" s="10">
        <v>273</v>
      </c>
      <c r="CS14" s="10">
        <v>203</v>
      </c>
      <c r="CT14" s="10">
        <v>165</v>
      </c>
      <c r="CU14" s="10">
        <v>0</v>
      </c>
      <c r="CV14" s="10">
        <v>1.66</v>
      </c>
      <c r="CW14" s="10">
        <v>49.8</v>
      </c>
      <c r="CX14" s="10">
        <v>5.46</v>
      </c>
      <c r="CY14" s="10">
        <v>368</v>
      </c>
      <c r="CZ14" s="10">
        <v>92</v>
      </c>
      <c r="DA14" s="10"/>
      <c r="DB14" s="10"/>
      <c r="DC14" s="10">
        <v>414</v>
      </c>
      <c r="DD14" s="10">
        <v>31</v>
      </c>
      <c r="DE14" s="10">
        <v>315</v>
      </c>
      <c r="DF14" s="10">
        <v>240</v>
      </c>
      <c r="DG14" s="10">
        <v>195</v>
      </c>
      <c r="DH14" s="10">
        <v>0</v>
      </c>
      <c r="DI14" s="10">
        <v>1.81</v>
      </c>
      <c r="DJ14" s="10">
        <v>54.3</v>
      </c>
      <c r="DK14" s="10">
        <v>10.88</v>
      </c>
      <c r="DL14" s="10">
        <v>365</v>
      </c>
      <c r="DM14" s="10">
        <v>100</v>
      </c>
      <c r="DN14" s="10"/>
      <c r="DO14" s="10"/>
      <c r="DP14" s="10">
        <v>399</v>
      </c>
      <c r="DQ14" s="10">
        <v>55</v>
      </c>
      <c r="DR14" s="10">
        <v>278</v>
      </c>
      <c r="DS14" s="10">
        <v>253</v>
      </c>
      <c r="DT14" s="10">
        <v>228</v>
      </c>
      <c r="DU14" s="10">
        <v>0</v>
      </c>
      <c r="DV14" s="10">
        <v>1.93</v>
      </c>
      <c r="DW14" s="10">
        <v>57.8</v>
      </c>
      <c r="DX14" s="10">
        <v>12.69</v>
      </c>
      <c r="DY14" s="10">
        <v>347</v>
      </c>
      <c r="DZ14" s="10">
        <v>100</v>
      </c>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5">
        <v>3850</v>
      </c>
      <c r="FD14" s="55">
        <v>470</v>
      </c>
      <c r="FE14" s="55">
        <v>2500</v>
      </c>
      <c r="FF14" s="55">
        <v>2300</v>
      </c>
      <c r="FG14" s="55">
        <v>2200</v>
      </c>
      <c r="FH14" s="55">
        <v>25</v>
      </c>
      <c r="FI14" s="55">
        <v>1.6</v>
      </c>
      <c r="FJ14" s="55">
        <v>45</v>
      </c>
      <c r="FK14" s="55">
        <v>80</v>
      </c>
      <c r="FL14" s="55">
        <v>3800</v>
      </c>
      <c r="FM14" s="55">
        <v>90</v>
      </c>
      <c r="FN14" s="55"/>
      <c r="FO14" s="55"/>
      <c r="FQ14" s="124">
        <v>4413</v>
      </c>
      <c r="FR14" s="124">
        <v>490</v>
      </c>
      <c r="FS14" s="124">
        <v>2827</v>
      </c>
      <c r="FT14" s="124">
        <v>2630</v>
      </c>
      <c r="FU14" s="124">
        <v>2316</v>
      </c>
      <c r="FV14" s="124">
        <v>11</v>
      </c>
      <c r="FW14" s="124">
        <v>1.82</v>
      </c>
      <c r="FX14" s="124">
        <v>51.28</v>
      </c>
      <c r="FY14" s="124">
        <v>109.8</v>
      </c>
      <c r="FZ14" s="124">
        <v>4117</v>
      </c>
      <c r="GA14" s="124">
        <v>96</v>
      </c>
      <c r="GB14" s="124"/>
      <c r="GC14" s="124"/>
    </row>
    <row r="15" spans="1:185" x14ac:dyDescent="0.25">
      <c r="A15" s="25">
        <v>14</v>
      </c>
      <c r="B15" s="27" t="s">
        <v>230</v>
      </c>
      <c r="C15" s="10">
        <v>100</v>
      </c>
      <c r="D15" s="10">
        <v>100</v>
      </c>
      <c r="E15" s="10">
        <v>100</v>
      </c>
      <c r="F15" s="10">
        <v>530</v>
      </c>
      <c r="G15" s="10"/>
      <c r="H15" s="10"/>
      <c r="I15" s="10"/>
      <c r="J15" s="10"/>
      <c r="K15" s="10"/>
      <c r="L15" s="10"/>
      <c r="M15" s="10"/>
      <c r="N15" s="10"/>
      <c r="O15" s="10"/>
      <c r="P15" s="10">
        <v>100</v>
      </c>
      <c r="Q15" s="10">
        <v>100</v>
      </c>
      <c r="R15" s="10">
        <v>100</v>
      </c>
      <c r="S15" s="10">
        <v>505</v>
      </c>
      <c r="T15" s="16"/>
      <c r="U15" s="10"/>
      <c r="V15" s="10"/>
      <c r="W15" s="10"/>
      <c r="X15" s="10"/>
      <c r="Y15" s="10"/>
      <c r="Z15" s="10"/>
      <c r="AA15" s="10"/>
      <c r="AB15" s="10"/>
      <c r="AC15" s="10">
        <v>100</v>
      </c>
      <c r="AD15" s="10">
        <v>100</v>
      </c>
      <c r="AE15" s="10">
        <v>100</v>
      </c>
      <c r="AF15" s="10">
        <v>461</v>
      </c>
      <c r="AG15" s="10"/>
      <c r="AH15" s="10"/>
      <c r="AI15" s="10"/>
      <c r="AJ15" s="10"/>
      <c r="AK15" s="10"/>
      <c r="AL15" s="10"/>
      <c r="AM15" s="10"/>
      <c r="AN15" s="10"/>
      <c r="AO15" s="10"/>
      <c r="AP15" s="10">
        <v>100</v>
      </c>
      <c r="AQ15" s="10">
        <v>100</v>
      </c>
      <c r="AR15" s="10">
        <v>100</v>
      </c>
      <c r="AS15" s="10">
        <v>594</v>
      </c>
      <c r="AT15" s="10"/>
      <c r="AU15" s="10"/>
      <c r="AV15" s="10"/>
      <c r="AW15" s="10"/>
      <c r="AX15" s="10"/>
      <c r="AY15" s="10"/>
      <c r="AZ15" s="10"/>
      <c r="BA15" s="10"/>
      <c r="BB15" s="10"/>
      <c r="BC15" s="10">
        <v>100</v>
      </c>
      <c r="BD15" s="10">
        <v>100</v>
      </c>
      <c r="BE15" s="10">
        <v>100</v>
      </c>
      <c r="BF15" s="10">
        <v>382</v>
      </c>
      <c r="BG15" s="10"/>
      <c r="BH15" s="10"/>
      <c r="BI15" s="10"/>
      <c r="BJ15" s="10"/>
      <c r="BK15" s="10"/>
      <c r="BL15" s="10"/>
      <c r="BM15" s="10"/>
      <c r="BN15" s="10"/>
      <c r="BO15" s="10"/>
      <c r="BP15" s="10">
        <v>100</v>
      </c>
      <c r="BQ15" s="10">
        <v>100</v>
      </c>
      <c r="BR15" s="10">
        <v>100</v>
      </c>
      <c r="BS15" s="10">
        <v>495</v>
      </c>
      <c r="BT15" s="10"/>
      <c r="BU15" s="10"/>
      <c r="BV15" s="10"/>
      <c r="BW15" s="10"/>
      <c r="BX15" s="10"/>
      <c r="BY15" s="10"/>
      <c r="BZ15" s="10"/>
      <c r="CA15" s="10"/>
      <c r="CB15" s="10"/>
      <c r="CC15" s="10">
        <v>100</v>
      </c>
      <c r="CD15" s="10">
        <v>100</v>
      </c>
      <c r="CE15" s="10">
        <v>100</v>
      </c>
      <c r="CF15" s="10">
        <v>148</v>
      </c>
      <c r="CG15" s="10"/>
      <c r="CH15" s="10"/>
      <c r="CI15" s="10"/>
      <c r="CJ15" s="10"/>
      <c r="CK15" s="10"/>
      <c r="CL15" s="10"/>
      <c r="CM15" s="10"/>
      <c r="CN15" s="10"/>
      <c r="CO15" s="10"/>
      <c r="CP15" s="10">
        <v>100</v>
      </c>
      <c r="CQ15" s="10">
        <v>100</v>
      </c>
      <c r="CR15" s="10">
        <v>100</v>
      </c>
      <c r="CS15" s="10">
        <v>54</v>
      </c>
      <c r="CT15" s="10"/>
      <c r="CU15" s="10"/>
      <c r="CV15" s="10"/>
      <c r="CW15" s="10"/>
      <c r="CX15" s="10"/>
      <c r="CY15" s="10"/>
      <c r="CZ15" s="10"/>
      <c r="DA15" s="10"/>
      <c r="DB15" s="10"/>
      <c r="DC15" s="10">
        <v>100</v>
      </c>
      <c r="DD15" s="10">
        <v>100</v>
      </c>
      <c r="DE15" s="10">
        <v>100</v>
      </c>
      <c r="DF15" s="10">
        <v>669</v>
      </c>
      <c r="DG15" s="10"/>
      <c r="DH15" s="10"/>
      <c r="DI15" s="10"/>
      <c r="DJ15" s="10"/>
      <c r="DK15" s="10"/>
      <c r="DL15" s="10"/>
      <c r="DM15" s="10"/>
      <c r="DN15" s="10"/>
      <c r="DO15" s="10"/>
      <c r="DP15" s="10">
        <v>100</v>
      </c>
      <c r="DQ15" s="10">
        <v>100</v>
      </c>
      <c r="DR15" s="10">
        <v>100</v>
      </c>
      <c r="DS15" s="10">
        <v>756</v>
      </c>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5">
        <v>99.99</v>
      </c>
      <c r="FD15" s="55">
        <v>99.99</v>
      </c>
      <c r="FE15" s="55">
        <v>99.99</v>
      </c>
      <c r="FF15" s="55">
        <v>5000</v>
      </c>
      <c r="FG15" s="55"/>
      <c r="FH15" s="55"/>
      <c r="FI15" s="55"/>
      <c r="FJ15" s="55"/>
      <c r="FK15" s="55"/>
      <c r="FL15" s="55"/>
      <c r="FM15" s="55"/>
      <c r="FN15" s="55"/>
      <c r="FO15" s="55"/>
      <c r="FQ15" s="124">
        <v>100</v>
      </c>
      <c r="FR15" s="124">
        <v>100</v>
      </c>
      <c r="FS15" s="124">
        <v>100</v>
      </c>
      <c r="FT15" s="124">
        <v>5100</v>
      </c>
      <c r="FU15" s="124"/>
      <c r="FV15" s="124"/>
      <c r="FW15" s="124"/>
      <c r="FX15" s="124"/>
      <c r="FY15" s="124"/>
      <c r="FZ15" s="124"/>
      <c r="GA15" s="124"/>
      <c r="GB15" s="124"/>
      <c r="GC15" s="124"/>
    </row>
    <row r="16" spans="1:185" ht="13.8" customHeight="1" x14ac:dyDescent="0.25">
      <c r="A16" s="25">
        <v>15</v>
      </c>
      <c r="B16" s="27" t="s">
        <v>7</v>
      </c>
      <c r="C16" s="10">
        <v>148.6</v>
      </c>
      <c r="D16" s="10">
        <v>19.3</v>
      </c>
      <c r="E16" s="10">
        <v>239</v>
      </c>
      <c r="F16" s="10">
        <v>7.7</v>
      </c>
      <c r="G16" s="10">
        <v>212</v>
      </c>
      <c r="H16" s="10">
        <v>89.2</v>
      </c>
      <c r="I16" s="10"/>
      <c r="J16" s="10"/>
      <c r="K16" s="10"/>
      <c r="L16" s="10"/>
      <c r="M16" s="10"/>
      <c r="N16" s="10"/>
      <c r="O16" s="10"/>
      <c r="P16" s="10">
        <v>148.6</v>
      </c>
      <c r="Q16" s="10">
        <v>17.5</v>
      </c>
      <c r="R16" s="10">
        <v>263</v>
      </c>
      <c r="S16" s="10">
        <v>8.5</v>
      </c>
      <c r="T16" s="16">
        <v>280</v>
      </c>
      <c r="U16" s="10">
        <v>89.1</v>
      </c>
      <c r="V16" s="10"/>
      <c r="W16" s="10"/>
      <c r="X16" s="10"/>
      <c r="Y16" s="10"/>
      <c r="Z16" s="10"/>
      <c r="AA16" s="10"/>
      <c r="AB16" s="10"/>
      <c r="AC16" s="10">
        <v>149.80000000000001</v>
      </c>
      <c r="AD16" s="10">
        <v>18.5</v>
      </c>
      <c r="AE16" s="10">
        <v>243</v>
      </c>
      <c r="AF16" s="10">
        <v>8.1</v>
      </c>
      <c r="AG16" s="10">
        <v>238</v>
      </c>
      <c r="AH16" s="10">
        <v>88.4</v>
      </c>
      <c r="AI16" s="10"/>
      <c r="AJ16" s="10"/>
      <c r="AK16" s="10"/>
      <c r="AL16" s="10"/>
      <c r="AM16" s="10"/>
      <c r="AN16" s="10"/>
      <c r="AO16" s="10"/>
      <c r="AP16" s="10">
        <v>150.6</v>
      </c>
      <c r="AQ16" s="10">
        <v>19.8</v>
      </c>
      <c r="AR16" s="10">
        <v>236</v>
      </c>
      <c r="AS16" s="10">
        <v>7.6</v>
      </c>
      <c r="AT16" s="10">
        <v>240</v>
      </c>
      <c r="AU16" s="10">
        <v>90.2</v>
      </c>
      <c r="AV16" s="10"/>
      <c r="AW16" s="10"/>
      <c r="AX16" s="10"/>
      <c r="AY16" s="10"/>
      <c r="AZ16" s="10"/>
      <c r="BA16" s="10"/>
      <c r="BB16" s="10"/>
      <c r="BC16" s="10">
        <v>147.80000000000001</v>
      </c>
      <c r="BD16" s="10"/>
      <c r="BE16" s="10"/>
      <c r="BF16" s="10"/>
      <c r="BG16" s="10"/>
      <c r="BH16" s="10"/>
      <c r="BI16" s="10"/>
      <c r="BJ16" s="10"/>
      <c r="BK16" s="10"/>
      <c r="BL16" s="10"/>
      <c r="BM16" s="10"/>
      <c r="BN16" s="10"/>
      <c r="BO16" s="10"/>
      <c r="BP16" s="10">
        <v>147.69999999999999</v>
      </c>
      <c r="BQ16" s="10">
        <v>40.5</v>
      </c>
      <c r="BR16" s="10">
        <v>113</v>
      </c>
      <c r="BS16" s="10">
        <v>3.6</v>
      </c>
      <c r="BT16" s="10">
        <v>108</v>
      </c>
      <c r="BU16" s="10">
        <v>86.4</v>
      </c>
      <c r="BV16" s="10"/>
      <c r="BW16" s="10"/>
      <c r="BX16" s="10"/>
      <c r="BY16" s="10"/>
      <c r="BZ16" s="10"/>
      <c r="CA16" s="10"/>
      <c r="CB16" s="10"/>
      <c r="CC16" s="10">
        <v>156.9</v>
      </c>
      <c r="CD16" s="10">
        <v>35.200000000000003</v>
      </c>
      <c r="CE16" s="10">
        <v>138</v>
      </c>
      <c r="CF16" s="10">
        <v>4.5</v>
      </c>
      <c r="CG16" s="10">
        <v>148</v>
      </c>
      <c r="CH16" s="10">
        <v>90.2</v>
      </c>
      <c r="CI16" s="10"/>
      <c r="CJ16" s="10"/>
      <c r="CK16" s="10"/>
      <c r="CL16" s="10"/>
      <c r="CM16" s="10"/>
      <c r="CN16" s="10"/>
      <c r="CO16" s="10"/>
      <c r="CP16" s="10">
        <v>148</v>
      </c>
      <c r="CQ16" s="10">
        <v>39.700000000000003</v>
      </c>
      <c r="CR16" s="10">
        <v>108</v>
      </c>
      <c r="CS16" s="10">
        <v>3.7</v>
      </c>
      <c r="CT16" s="10">
        <v>110</v>
      </c>
      <c r="CU16" s="10">
        <v>90.4</v>
      </c>
      <c r="CV16" s="10"/>
      <c r="CW16" s="10"/>
      <c r="CX16" s="10"/>
      <c r="CY16" s="10"/>
      <c r="CZ16" s="10"/>
      <c r="DA16" s="10"/>
      <c r="DB16" s="10"/>
      <c r="DC16" s="10">
        <v>144.80000000000001</v>
      </c>
      <c r="DD16" s="10">
        <v>41.6</v>
      </c>
      <c r="DE16" s="10">
        <v>108</v>
      </c>
      <c r="DF16" s="10">
        <v>3.5</v>
      </c>
      <c r="DG16" s="10">
        <v>125</v>
      </c>
      <c r="DH16" s="10">
        <v>87.8</v>
      </c>
      <c r="DI16" s="10"/>
      <c r="DJ16" s="10"/>
      <c r="DK16" s="10"/>
      <c r="DL16" s="10"/>
      <c r="DM16" s="10"/>
      <c r="DN16" s="10"/>
      <c r="DO16" s="10"/>
      <c r="DP16" s="10">
        <v>114.4</v>
      </c>
      <c r="DQ16" s="10">
        <v>64.7</v>
      </c>
      <c r="DR16" s="10">
        <v>53</v>
      </c>
      <c r="DS16" s="10">
        <v>1.77</v>
      </c>
      <c r="DT16" s="10">
        <v>61</v>
      </c>
      <c r="DU16" s="10">
        <v>90.5</v>
      </c>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5">
        <v>115</v>
      </c>
      <c r="FD16" s="55">
        <v>12</v>
      </c>
      <c r="FE16" s="55">
        <v>2800</v>
      </c>
      <c r="FF16" s="55">
        <v>7.5</v>
      </c>
      <c r="FG16" s="55">
        <v>2800</v>
      </c>
      <c r="FH16" s="55">
        <v>80</v>
      </c>
      <c r="FI16" s="55"/>
      <c r="FJ16" s="55"/>
      <c r="FK16" s="55"/>
      <c r="FL16" s="55"/>
      <c r="FM16" s="55"/>
      <c r="FN16" s="55"/>
      <c r="FO16" s="55"/>
      <c r="FQ16" s="124">
        <v>130.9</v>
      </c>
      <c r="FR16" s="124">
        <v>15.6</v>
      </c>
      <c r="FS16" s="124">
        <v>2777</v>
      </c>
      <c r="FT16" s="124">
        <v>8.3000000000000007</v>
      </c>
      <c r="FU16" s="124">
        <v>2750</v>
      </c>
      <c r="FV16" s="124">
        <v>86.7</v>
      </c>
      <c r="FW16" s="124"/>
      <c r="FX16" s="124"/>
      <c r="FY16" s="124"/>
      <c r="FZ16" s="124"/>
      <c r="GA16" s="124"/>
      <c r="GB16" s="124"/>
      <c r="GC16" s="124"/>
    </row>
    <row r="17" spans="1:185" x14ac:dyDescent="0.25">
      <c r="A17" s="25">
        <v>16</v>
      </c>
      <c r="B17" s="27" t="s">
        <v>8</v>
      </c>
      <c r="C17" s="10">
        <v>17206</v>
      </c>
      <c r="D17" s="10">
        <v>8523</v>
      </c>
      <c r="E17" s="10">
        <v>1446</v>
      </c>
      <c r="F17" s="10">
        <v>875</v>
      </c>
      <c r="G17" s="16">
        <v>11068</v>
      </c>
      <c r="H17" s="10">
        <v>2534</v>
      </c>
      <c r="I17" s="10">
        <v>2.08</v>
      </c>
      <c r="J17" s="10">
        <v>2.5499999999999998</v>
      </c>
      <c r="K17" s="10">
        <v>7.91</v>
      </c>
      <c r="L17" s="10">
        <v>203</v>
      </c>
      <c r="M17" s="10">
        <v>316</v>
      </c>
      <c r="N17" s="10">
        <v>51</v>
      </c>
      <c r="O17" s="10">
        <v>0</v>
      </c>
      <c r="P17" s="10">
        <v>14431</v>
      </c>
      <c r="Q17" s="10">
        <v>6897</v>
      </c>
      <c r="R17" s="10">
        <v>914</v>
      </c>
      <c r="S17" s="10">
        <v>809</v>
      </c>
      <c r="T17" s="16">
        <v>8996</v>
      </c>
      <c r="U17" s="10">
        <v>2722</v>
      </c>
      <c r="V17" s="10">
        <v>1.88</v>
      </c>
      <c r="W17" s="10">
        <v>2.38</v>
      </c>
      <c r="X17" s="10">
        <v>8.5</v>
      </c>
      <c r="Y17" s="10">
        <v>158</v>
      </c>
      <c r="Z17" s="10">
        <v>266</v>
      </c>
      <c r="AA17" s="10">
        <v>67</v>
      </c>
      <c r="AB17" s="10">
        <v>0</v>
      </c>
      <c r="AC17" s="10">
        <v>13543</v>
      </c>
      <c r="AD17" s="10">
        <v>6311</v>
      </c>
      <c r="AE17" s="10">
        <v>531</v>
      </c>
      <c r="AF17" s="10">
        <v>808</v>
      </c>
      <c r="AG17" s="10">
        <v>8625</v>
      </c>
      <c r="AH17" s="10">
        <v>2594</v>
      </c>
      <c r="AI17" s="10">
        <v>1.79</v>
      </c>
      <c r="AJ17" s="10">
        <v>2.29</v>
      </c>
      <c r="AK17" s="10">
        <v>8.84</v>
      </c>
      <c r="AL17" s="10">
        <v>157</v>
      </c>
      <c r="AM17" s="10">
        <v>226</v>
      </c>
      <c r="AN17" s="10">
        <v>39</v>
      </c>
      <c r="AO17" s="10">
        <v>0</v>
      </c>
      <c r="AP17" s="10">
        <v>14222</v>
      </c>
      <c r="AQ17" s="10">
        <v>6762</v>
      </c>
      <c r="AR17" s="10">
        <v>3425</v>
      </c>
      <c r="AS17" s="10">
        <v>906</v>
      </c>
      <c r="AT17" s="10">
        <v>10106</v>
      </c>
      <c r="AU17" s="10">
        <v>2807</v>
      </c>
      <c r="AV17" s="10">
        <v>1.82</v>
      </c>
      <c r="AW17" s="10">
        <v>2.3199999999999998</v>
      </c>
      <c r="AX17" s="10">
        <v>8.7100000000000009</v>
      </c>
      <c r="AY17" s="10">
        <v>290</v>
      </c>
      <c r="AZ17" s="10">
        <v>261</v>
      </c>
      <c r="BA17" s="10">
        <v>72</v>
      </c>
      <c r="BB17" s="10"/>
      <c r="BC17" s="10">
        <v>11681</v>
      </c>
      <c r="BD17" s="10">
        <v>5548</v>
      </c>
      <c r="BE17" s="10">
        <v>1554</v>
      </c>
      <c r="BF17" s="10">
        <v>677</v>
      </c>
      <c r="BG17" s="10">
        <v>8325</v>
      </c>
      <c r="BH17" s="10">
        <v>2110</v>
      </c>
      <c r="BI17" s="10">
        <v>1.77</v>
      </c>
      <c r="BJ17" s="10">
        <v>2.25</v>
      </c>
      <c r="BK17" s="10">
        <v>8.99</v>
      </c>
      <c r="BL17" s="10">
        <v>749</v>
      </c>
      <c r="BM17" s="10">
        <v>520</v>
      </c>
      <c r="BN17" s="10">
        <v>187</v>
      </c>
      <c r="BO17" s="10">
        <v>0</v>
      </c>
      <c r="BP17" s="15">
        <v>12715</v>
      </c>
      <c r="BQ17" s="10">
        <v>6156</v>
      </c>
      <c r="BR17" s="10">
        <v>761</v>
      </c>
      <c r="BS17" s="10">
        <v>635</v>
      </c>
      <c r="BT17" s="10">
        <v>6384</v>
      </c>
      <c r="BU17" s="10">
        <v>1893</v>
      </c>
      <c r="BV17" s="10">
        <v>1.67</v>
      </c>
      <c r="BW17" s="10">
        <v>2.13</v>
      </c>
      <c r="BX17" s="10">
        <v>9.48</v>
      </c>
      <c r="BY17" s="10">
        <v>261</v>
      </c>
      <c r="BZ17" s="10">
        <v>245</v>
      </c>
      <c r="CA17" s="10">
        <v>65</v>
      </c>
      <c r="CB17" s="10">
        <v>0</v>
      </c>
      <c r="CC17" s="10">
        <v>13189</v>
      </c>
      <c r="CD17" s="10">
        <v>6341</v>
      </c>
      <c r="CE17" s="10">
        <v>892</v>
      </c>
      <c r="CF17" s="10">
        <v>884</v>
      </c>
      <c r="CG17" s="10">
        <v>7248</v>
      </c>
      <c r="CH17" s="10">
        <v>2491</v>
      </c>
      <c r="CI17" s="10">
        <v>1.63</v>
      </c>
      <c r="CJ17" s="10">
        <v>2.09</v>
      </c>
      <c r="CK17" s="10">
        <v>9.67</v>
      </c>
      <c r="CL17" s="10">
        <v>173</v>
      </c>
      <c r="CM17" s="10">
        <v>168</v>
      </c>
      <c r="CN17" s="10">
        <v>43</v>
      </c>
      <c r="CO17" s="10">
        <v>0</v>
      </c>
      <c r="CP17" s="10">
        <v>13053</v>
      </c>
      <c r="CQ17" s="10">
        <v>6335</v>
      </c>
      <c r="CR17" s="10">
        <v>814</v>
      </c>
      <c r="CS17" s="10">
        <v>910</v>
      </c>
      <c r="CT17" s="10">
        <v>7360</v>
      </c>
      <c r="CU17" s="10">
        <v>2364</v>
      </c>
      <c r="CV17" s="10">
        <v>1.6</v>
      </c>
      <c r="CW17" s="10">
        <v>2.06</v>
      </c>
      <c r="CX17" s="10">
        <v>9.83</v>
      </c>
      <c r="CY17" s="10">
        <v>101</v>
      </c>
      <c r="CZ17" s="10">
        <v>253</v>
      </c>
      <c r="DA17" s="10">
        <v>25</v>
      </c>
      <c r="DB17" s="10">
        <v>0</v>
      </c>
      <c r="DC17" s="10"/>
      <c r="DD17" s="10"/>
      <c r="DE17" s="10"/>
      <c r="DF17" s="10"/>
      <c r="DG17" s="10"/>
      <c r="DH17" s="10"/>
      <c r="DI17" s="10"/>
      <c r="DJ17" s="10"/>
      <c r="DK17" s="10"/>
      <c r="DL17" s="10"/>
      <c r="DM17" s="10"/>
      <c r="DN17" s="10"/>
      <c r="DO17" s="10"/>
      <c r="DP17" s="10">
        <v>0</v>
      </c>
      <c r="DQ17" s="10">
        <v>0</v>
      </c>
      <c r="DR17" s="10">
        <v>0</v>
      </c>
      <c r="DS17" s="10">
        <v>0</v>
      </c>
      <c r="DT17" s="10">
        <v>0</v>
      </c>
      <c r="DU17" s="10">
        <v>0</v>
      </c>
      <c r="DV17" s="10">
        <v>0</v>
      </c>
      <c r="DW17" s="10">
        <v>0</v>
      </c>
      <c r="DX17" s="10">
        <v>0</v>
      </c>
      <c r="DY17" s="10">
        <v>0</v>
      </c>
      <c r="DZ17" s="10">
        <v>0</v>
      </c>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5">
        <v>167500</v>
      </c>
      <c r="FD17" s="55">
        <v>85000</v>
      </c>
      <c r="FE17" s="56">
        <v>14000</v>
      </c>
      <c r="FF17" s="56">
        <v>12500</v>
      </c>
      <c r="FG17" s="56">
        <v>115000</v>
      </c>
      <c r="FH17" s="56">
        <v>30000</v>
      </c>
      <c r="FI17" s="57">
        <v>2</v>
      </c>
      <c r="FJ17" s="57">
        <v>2.75</v>
      </c>
      <c r="FK17" s="57">
        <v>8.5</v>
      </c>
      <c r="FL17" s="56">
        <v>3000</v>
      </c>
      <c r="FM17" s="56">
        <v>4000</v>
      </c>
      <c r="FN17" s="55">
        <v>750</v>
      </c>
      <c r="FO17" s="55">
        <v>3</v>
      </c>
      <c r="FQ17" s="124">
        <v>160636</v>
      </c>
      <c r="FR17" s="124">
        <v>78727</v>
      </c>
      <c r="FS17" s="124">
        <v>14707</v>
      </c>
      <c r="FT17" s="124">
        <v>10471</v>
      </c>
      <c r="FU17" s="124">
        <v>108158</v>
      </c>
      <c r="FV17" s="124">
        <v>27108</v>
      </c>
      <c r="FW17" s="124">
        <v>1.82</v>
      </c>
      <c r="FX17" s="124">
        <v>2.27</v>
      </c>
      <c r="FY17" s="124">
        <v>8.76</v>
      </c>
      <c r="FZ17" s="124">
        <v>3159</v>
      </c>
      <c r="GA17" s="124">
        <v>4161</v>
      </c>
      <c r="GB17" s="124">
        <v>768</v>
      </c>
      <c r="GC17" s="124">
        <v>0</v>
      </c>
    </row>
    <row r="18" spans="1:185" x14ac:dyDescent="0.25">
      <c r="A18" s="25">
        <v>17</v>
      </c>
      <c r="B18" s="27" t="s">
        <v>231</v>
      </c>
      <c r="C18" s="10">
        <v>11</v>
      </c>
      <c r="D18" s="10">
        <v>0</v>
      </c>
      <c r="E18" s="10">
        <v>3</v>
      </c>
      <c r="F18" s="10">
        <v>3</v>
      </c>
      <c r="G18" s="10">
        <v>270</v>
      </c>
      <c r="H18" s="10">
        <v>25</v>
      </c>
      <c r="I18" s="10">
        <v>163</v>
      </c>
      <c r="J18" s="10">
        <v>79</v>
      </c>
      <c r="K18" s="10">
        <v>38</v>
      </c>
      <c r="L18" s="10">
        <v>47</v>
      </c>
      <c r="M18" s="10">
        <v>28</v>
      </c>
      <c r="N18" s="10"/>
      <c r="O18" s="10"/>
      <c r="P18" s="10">
        <v>32</v>
      </c>
      <c r="Q18" s="10">
        <v>0</v>
      </c>
      <c r="R18" s="10">
        <v>2</v>
      </c>
      <c r="S18" s="10">
        <v>2</v>
      </c>
      <c r="T18" s="16">
        <v>311</v>
      </c>
      <c r="U18" s="10">
        <v>44</v>
      </c>
      <c r="V18" s="10">
        <v>303</v>
      </c>
      <c r="W18" s="10">
        <v>113</v>
      </c>
      <c r="X18" s="10">
        <v>65</v>
      </c>
      <c r="Y18" s="10">
        <v>38</v>
      </c>
      <c r="Z18" s="10">
        <v>26</v>
      </c>
      <c r="AA18" s="10"/>
      <c r="AB18" s="10"/>
      <c r="AC18" s="10">
        <v>6</v>
      </c>
      <c r="AD18" s="10">
        <v>0</v>
      </c>
      <c r="AE18" s="10">
        <v>1</v>
      </c>
      <c r="AF18" s="10">
        <v>3</v>
      </c>
      <c r="AG18" s="10">
        <v>216</v>
      </c>
      <c r="AH18" s="10">
        <v>15</v>
      </c>
      <c r="AI18" s="10">
        <v>202</v>
      </c>
      <c r="AJ18" s="10">
        <v>75</v>
      </c>
      <c r="AK18" s="10">
        <v>60</v>
      </c>
      <c r="AL18" s="10">
        <v>40</v>
      </c>
      <c r="AM18" s="10">
        <v>35</v>
      </c>
      <c r="AN18" s="10"/>
      <c r="AO18" s="10"/>
      <c r="AP18" s="10">
        <v>13</v>
      </c>
      <c r="AQ18" s="10">
        <v>1</v>
      </c>
      <c r="AR18" s="10">
        <v>1</v>
      </c>
      <c r="AS18" s="10">
        <v>2</v>
      </c>
      <c r="AT18" s="10">
        <v>311</v>
      </c>
      <c r="AU18" s="10">
        <v>41</v>
      </c>
      <c r="AV18" s="10">
        <v>318</v>
      </c>
      <c r="AW18" s="10">
        <v>173</v>
      </c>
      <c r="AX18" s="10">
        <v>63</v>
      </c>
      <c r="AY18" s="10">
        <v>77</v>
      </c>
      <c r="AZ18" s="10">
        <v>37</v>
      </c>
      <c r="BA18" s="10"/>
      <c r="BB18" s="10"/>
      <c r="BC18" s="10">
        <v>14</v>
      </c>
      <c r="BD18" s="10">
        <v>0</v>
      </c>
      <c r="BE18" s="10">
        <v>3</v>
      </c>
      <c r="BF18" s="10">
        <v>3</v>
      </c>
      <c r="BG18" s="10">
        <v>191</v>
      </c>
      <c r="BH18" s="10">
        <v>20</v>
      </c>
      <c r="BI18" s="10">
        <v>188</v>
      </c>
      <c r="BJ18" s="10">
        <v>44</v>
      </c>
      <c r="BK18" s="10">
        <v>37</v>
      </c>
      <c r="BL18" s="10">
        <v>44</v>
      </c>
      <c r="BM18" s="10">
        <v>18</v>
      </c>
      <c r="BN18" s="10"/>
      <c r="BO18" s="10"/>
      <c r="BP18" s="10">
        <v>20</v>
      </c>
      <c r="BQ18" s="10">
        <v>0</v>
      </c>
      <c r="BR18" s="10">
        <v>0</v>
      </c>
      <c r="BS18" s="10">
        <v>1</v>
      </c>
      <c r="BT18" s="10">
        <v>213</v>
      </c>
      <c r="BU18" s="10">
        <v>53</v>
      </c>
      <c r="BV18" s="10">
        <v>208</v>
      </c>
      <c r="BW18" s="10">
        <v>74</v>
      </c>
      <c r="BX18" s="10">
        <v>28</v>
      </c>
      <c r="BY18" s="10">
        <v>38</v>
      </c>
      <c r="BZ18" s="10">
        <v>11</v>
      </c>
      <c r="CA18" s="10"/>
      <c r="CB18" s="10"/>
      <c r="CC18" s="10">
        <v>9</v>
      </c>
      <c r="CD18" s="10">
        <v>1</v>
      </c>
      <c r="CE18" s="10">
        <v>2</v>
      </c>
      <c r="CF18" s="10">
        <v>3</v>
      </c>
      <c r="CG18" s="10">
        <v>279</v>
      </c>
      <c r="CH18" s="10">
        <v>49</v>
      </c>
      <c r="CI18" s="10">
        <v>272</v>
      </c>
      <c r="CJ18" s="10">
        <v>83</v>
      </c>
      <c r="CK18" s="10">
        <v>40</v>
      </c>
      <c r="CL18" s="10">
        <v>44</v>
      </c>
      <c r="CM18" s="10">
        <v>13</v>
      </c>
      <c r="CN18" s="10"/>
      <c r="CO18" s="10"/>
      <c r="CP18" s="10">
        <v>13</v>
      </c>
      <c r="CQ18" s="10">
        <v>0</v>
      </c>
      <c r="CR18" s="10">
        <v>0</v>
      </c>
      <c r="CS18" s="10">
        <v>5</v>
      </c>
      <c r="CT18" s="10">
        <v>266</v>
      </c>
      <c r="CU18" s="10">
        <v>19</v>
      </c>
      <c r="CV18" s="10">
        <v>263</v>
      </c>
      <c r="CW18" s="10">
        <v>10</v>
      </c>
      <c r="CX18" s="10">
        <v>48</v>
      </c>
      <c r="CY18" s="10">
        <v>31</v>
      </c>
      <c r="CZ18" s="10">
        <v>5</v>
      </c>
      <c r="DA18" s="10"/>
      <c r="DB18" s="10"/>
      <c r="DC18" s="10">
        <v>15</v>
      </c>
      <c r="DD18" s="10">
        <v>0</v>
      </c>
      <c r="DE18" s="10">
        <v>3</v>
      </c>
      <c r="DF18" s="10">
        <v>3</v>
      </c>
      <c r="DG18" s="10">
        <v>237</v>
      </c>
      <c r="DH18" s="10">
        <v>38</v>
      </c>
      <c r="DI18" s="10">
        <v>237</v>
      </c>
      <c r="DJ18" s="10">
        <v>91</v>
      </c>
      <c r="DK18" s="10">
        <v>62</v>
      </c>
      <c r="DL18" s="10">
        <v>52</v>
      </c>
      <c r="DM18" s="10">
        <v>8</v>
      </c>
      <c r="DN18" s="10"/>
      <c r="DO18" s="10"/>
      <c r="DP18" s="10">
        <v>15</v>
      </c>
      <c r="DQ18" s="10">
        <v>0</v>
      </c>
      <c r="DR18" s="10">
        <v>5</v>
      </c>
      <c r="DS18" s="10">
        <v>3</v>
      </c>
      <c r="DT18" s="10">
        <v>187</v>
      </c>
      <c r="DU18" s="10">
        <v>14</v>
      </c>
      <c r="DV18" s="10">
        <v>185</v>
      </c>
      <c r="DW18" s="10">
        <v>59</v>
      </c>
      <c r="DX18" s="10">
        <v>59</v>
      </c>
      <c r="DY18" s="10">
        <v>63</v>
      </c>
      <c r="DZ18" s="10">
        <v>10</v>
      </c>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5">
        <v>450</v>
      </c>
      <c r="FD18" s="55">
        <v>8</v>
      </c>
      <c r="FE18" s="55">
        <v>575</v>
      </c>
      <c r="FF18" s="55">
        <v>40</v>
      </c>
      <c r="FG18" s="55">
        <v>4500</v>
      </c>
      <c r="FH18" s="55">
        <v>525</v>
      </c>
      <c r="FI18" s="55">
        <v>3700</v>
      </c>
      <c r="FJ18" s="55">
        <v>2000</v>
      </c>
      <c r="FK18" s="55">
        <v>500</v>
      </c>
      <c r="FL18" s="55">
        <v>600</v>
      </c>
      <c r="FM18" s="55">
        <v>325</v>
      </c>
      <c r="FN18" s="55"/>
      <c r="FO18" s="55"/>
      <c r="FQ18" s="124">
        <v>483</v>
      </c>
      <c r="FR18" s="124">
        <v>9</v>
      </c>
      <c r="FS18" s="124">
        <v>545</v>
      </c>
      <c r="FT18" s="124">
        <v>48</v>
      </c>
      <c r="FU18" s="124">
        <v>4609</v>
      </c>
      <c r="FV18" s="124">
        <v>412</v>
      </c>
      <c r="FW18" s="124">
        <v>3691</v>
      </c>
      <c r="FX18" s="124">
        <v>2050</v>
      </c>
      <c r="FY18" s="124">
        <v>615</v>
      </c>
      <c r="FZ18" s="124">
        <v>635</v>
      </c>
      <c r="GA18" s="124">
        <v>398</v>
      </c>
      <c r="GB18" s="124"/>
      <c r="GC18" s="124"/>
    </row>
    <row r="19" spans="1:185" x14ac:dyDescent="0.25">
      <c r="A19" s="25">
        <v>18</v>
      </c>
      <c r="B19" s="27" t="s">
        <v>9</v>
      </c>
      <c r="C19" s="10">
        <v>184</v>
      </c>
      <c r="D19" s="10">
        <v>238</v>
      </c>
      <c r="E19" s="10">
        <v>554</v>
      </c>
      <c r="F19" s="10">
        <v>159</v>
      </c>
      <c r="G19" s="10">
        <v>8.4</v>
      </c>
      <c r="H19" s="10">
        <v>25275</v>
      </c>
      <c r="I19" s="10">
        <v>47054</v>
      </c>
      <c r="J19" s="10">
        <v>44</v>
      </c>
      <c r="K19" s="10"/>
      <c r="L19" s="10"/>
      <c r="M19" s="10"/>
      <c r="N19" s="10"/>
      <c r="O19" s="10"/>
      <c r="P19" s="10">
        <v>204</v>
      </c>
      <c r="Q19" s="10">
        <v>250</v>
      </c>
      <c r="R19" s="10">
        <v>610</v>
      </c>
      <c r="S19" s="10">
        <v>178</v>
      </c>
      <c r="T19" s="16">
        <v>9.3000000000000007</v>
      </c>
      <c r="U19" s="10">
        <v>27960</v>
      </c>
      <c r="V19" s="10">
        <v>78301</v>
      </c>
      <c r="W19" s="10">
        <v>68.7</v>
      </c>
      <c r="X19" s="10"/>
      <c r="Y19" s="10"/>
      <c r="Z19" s="10"/>
      <c r="AA19" s="10"/>
      <c r="AB19" s="10"/>
      <c r="AC19" s="10">
        <v>178</v>
      </c>
      <c r="AD19" s="10">
        <v>194</v>
      </c>
      <c r="AE19" s="10">
        <v>546</v>
      </c>
      <c r="AF19" s="10">
        <v>131</v>
      </c>
      <c r="AG19" s="10">
        <v>8.9</v>
      </c>
      <c r="AH19" s="10">
        <v>23196</v>
      </c>
      <c r="AI19" s="10">
        <v>40222</v>
      </c>
      <c r="AJ19" s="10">
        <v>420</v>
      </c>
      <c r="AK19" s="10"/>
      <c r="AL19" s="10"/>
      <c r="AM19" s="10"/>
      <c r="AN19" s="10"/>
      <c r="AO19" s="10"/>
      <c r="AP19" s="10">
        <v>253</v>
      </c>
      <c r="AQ19" s="10">
        <v>272</v>
      </c>
      <c r="AR19" s="10">
        <v>614</v>
      </c>
      <c r="AS19" s="10">
        <v>133</v>
      </c>
      <c r="AT19" s="10">
        <v>11</v>
      </c>
      <c r="AU19" s="10">
        <v>30851</v>
      </c>
      <c r="AV19" s="10">
        <v>48764</v>
      </c>
      <c r="AW19" s="10">
        <v>320</v>
      </c>
      <c r="AX19" s="10"/>
      <c r="AY19" s="10"/>
      <c r="AZ19" s="10"/>
      <c r="BA19" s="10"/>
      <c r="BB19" s="10"/>
      <c r="BC19" s="10">
        <v>191</v>
      </c>
      <c r="BD19" s="10">
        <v>196</v>
      </c>
      <c r="BE19" s="10">
        <v>455</v>
      </c>
      <c r="BF19" s="10">
        <v>108</v>
      </c>
      <c r="BG19" s="10">
        <v>10.6</v>
      </c>
      <c r="BH19" s="10">
        <v>21841</v>
      </c>
      <c r="BI19" s="10">
        <v>43260</v>
      </c>
      <c r="BJ19" s="10">
        <v>33</v>
      </c>
      <c r="BK19" s="10"/>
      <c r="BL19" s="10"/>
      <c r="BM19" s="10"/>
      <c r="BN19" s="10"/>
      <c r="BO19" s="10"/>
      <c r="BP19" s="10">
        <v>224</v>
      </c>
      <c r="BQ19" s="10">
        <v>237</v>
      </c>
      <c r="BR19" s="10">
        <v>513</v>
      </c>
      <c r="BS19" s="10">
        <v>98</v>
      </c>
      <c r="BT19" s="10">
        <v>11.8</v>
      </c>
      <c r="BU19" s="10">
        <v>25369</v>
      </c>
      <c r="BV19" s="10">
        <v>67626</v>
      </c>
      <c r="BW19" s="10">
        <v>42</v>
      </c>
      <c r="BX19" s="10"/>
      <c r="BY19" s="10"/>
      <c r="BZ19" s="10"/>
      <c r="CA19" s="10"/>
      <c r="CB19" s="10"/>
      <c r="CC19" s="10">
        <v>173</v>
      </c>
      <c r="CD19" s="10">
        <v>185</v>
      </c>
      <c r="CE19" s="10">
        <v>587</v>
      </c>
      <c r="CF19" s="10">
        <v>120</v>
      </c>
      <c r="CG19" s="10">
        <v>8.1999999999999993</v>
      </c>
      <c r="CH19" s="10">
        <v>22922</v>
      </c>
      <c r="CI19" s="10">
        <v>42060</v>
      </c>
      <c r="CJ19" s="10">
        <v>32</v>
      </c>
      <c r="CK19" s="10"/>
      <c r="CL19" s="10"/>
      <c r="CM19" s="10"/>
      <c r="CN19" s="10"/>
      <c r="CO19" s="10"/>
      <c r="CP19" s="10">
        <v>161</v>
      </c>
      <c r="CQ19" s="10">
        <v>176</v>
      </c>
      <c r="CR19" s="10">
        <v>546</v>
      </c>
      <c r="CS19" s="10">
        <v>96</v>
      </c>
      <c r="CT19" s="10">
        <v>8.1</v>
      </c>
      <c r="CU19" s="10">
        <v>20983</v>
      </c>
      <c r="CV19" s="10">
        <v>29535</v>
      </c>
      <c r="CW19" s="10">
        <v>28</v>
      </c>
      <c r="CX19" s="10"/>
      <c r="CY19" s="10"/>
      <c r="CZ19" s="10"/>
      <c r="DA19" s="10"/>
      <c r="DB19" s="10"/>
      <c r="DC19" s="10">
        <v>189</v>
      </c>
      <c r="DD19" s="10">
        <v>204</v>
      </c>
      <c r="DE19" s="10">
        <v>547</v>
      </c>
      <c r="DF19" s="10">
        <v>122</v>
      </c>
      <c r="DG19" s="10">
        <v>8.6</v>
      </c>
      <c r="DH19" s="10">
        <v>25496</v>
      </c>
      <c r="DI19" s="10">
        <v>41568</v>
      </c>
      <c r="DJ19" s="10">
        <v>33</v>
      </c>
      <c r="DK19" s="10"/>
      <c r="DL19" s="10"/>
      <c r="DM19" s="10"/>
      <c r="DN19" s="10"/>
      <c r="DO19" s="10"/>
      <c r="DP19" s="10">
        <v>204</v>
      </c>
      <c r="DQ19" s="10">
        <v>165</v>
      </c>
      <c r="DR19" s="10">
        <v>516</v>
      </c>
      <c r="DS19" s="10">
        <v>90</v>
      </c>
      <c r="DT19" s="10">
        <v>9.7100000000000009</v>
      </c>
      <c r="DU19" s="10">
        <v>23405</v>
      </c>
      <c r="DV19" s="10">
        <v>36570</v>
      </c>
      <c r="DW19" s="10">
        <v>66</v>
      </c>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5">
        <v>1850</v>
      </c>
      <c r="FD19" s="55">
        <v>2050</v>
      </c>
      <c r="FE19" s="55">
        <v>5700</v>
      </c>
      <c r="FF19" s="55">
        <v>1600</v>
      </c>
      <c r="FG19" s="55">
        <v>7.7</v>
      </c>
      <c r="FH19" s="55">
        <v>250000</v>
      </c>
      <c r="FI19" s="55">
        <v>450000</v>
      </c>
      <c r="FJ19" s="55">
        <v>850</v>
      </c>
      <c r="FK19" s="55"/>
      <c r="FL19" s="55"/>
      <c r="FM19" s="55"/>
      <c r="FN19" s="55"/>
      <c r="FO19" s="55"/>
      <c r="FQ19" s="124">
        <v>1965</v>
      </c>
      <c r="FR19" s="124">
        <v>2415</v>
      </c>
      <c r="FS19" s="124">
        <v>6269</v>
      </c>
      <c r="FT19" s="124">
        <v>1880</v>
      </c>
      <c r="FU19" s="124">
        <v>7.97</v>
      </c>
      <c r="FV19" s="124">
        <v>275893</v>
      </c>
      <c r="FW19" s="124">
        <v>539760</v>
      </c>
      <c r="FX19" s="124">
        <v>1610.9</v>
      </c>
      <c r="FY19" s="124"/>
      <c r="FZ19" s="124"/>
      <c r="GA19" s="124"/>
      <c r="GB19" s="124"/>
      <c r="GC19" s="124"/>
    </row>
    <row r="20" spans="1:185" ht="12" customHeight="1" x14ac:dyDescent="0.25">
      <c r="A20" s="25">
        <v>19</v>
      </c>
      <c r="B20" s="27" t="s">
        <v>61</v>
      </c>
      <c r="C20" s="10">
        <v>12</v>
      </c>
      <c r="D20" s="10">
        <v>12</v>
      </c>
      <c r="E20" s="10"/>
      <c r="F20" s="10"/>
      <c r="G20" s="10"/>
      <c r="H20" s="10"/>
      <c r="I20" s="10"/>
      <c r="J20" s="10"/>
      <c r="K20" s="10"/>
      <c r="L20" s="10"/>
      <c r="M20" s="10"/>
      <c r="N20" s="10"/>
      <c r="O20" s="10"/>
      <c r="P20" s="10">
        <v>13</v>
      </c>
      <c r="Q20" s="10">
        <v>13</v>
      </c>
      <c r="R20" s="10"/>
      <c r="S20" s="10"/>
      <c r="T20" s="16"/>
      <c r="U20" s="10"/>
      <c r="V20" s="10"/>
      <c r="W20" s="10"/>
      <c r="X20" s="10"/>
      <c r="Y20" s="10"/>
      <c r="Z20" s="10"/>
      <c r="AA20" s="10"/>
      <c r="AB20" s="10"/>
      <c r="AC20" s="10">
        <v>8</v>
      </c>
      <c r="AD20" s="10">
        <v>7</v>
      </c>
      <c r="AE20" s="10"/>
      <c r="AF20" s="10"/>
      <c r="AG20" s="10"/>
      <c r="AH20" s="10"/>
      <c r="AI20" s="10"/>
      <c r="AJ20" s="10"/>
      <c r="AK20" s="10"/>
      <c r="AL20" s="10"/>
      <c r="AM20" s="10"/>
      <c r="AN20" s="10"/>
      <c r="AO20" s="10"/>
      <c r="AP20" s="10">
        <v>12</v>
      </c>
      <c r="AQ20" s="10">
        <v>11</v>
      </c>
      <c r="AR20" s="10"/>
      <c r="AS20" s="10"/>
      <c r="AT20" s="10"/>
      <c r="AU20" s="10"/>
      <c r="AV20" s="10"/>
      <c r="AW20" s="10"/>
      <c r="AX20" s="10"/>
      <c r="AY20" s="10"/>
      <c r="AZ20" s="10"/>
      <c r="BA20" s="10"/>
      <c r="BB20" s="10"/>
      <c r="BC20" s="10">
        <v>10</v>
      </c>
      <c r="BD20" s="10">
        <v>10</v>
      </c>
      <c r="BE20" s="10"/>
      <c r="BF20" s="10"/>
      <c r="BG20" s="10"/>
      <c r="BH20" s="10"/>
      <c r="BI20" s="10"/>
      <c r="BJ20" s="10"/>
      <c r="BK20" s="10"/>
      <c r="BL20" s="10"/>
      <c r="BM20" s="10"/>
      <c r="BN20" s="10"/>
      <c r="BO20" s="10"/>
      <c r="BP20" s="10">
        <v>7</v>
      </c>
      <c r="BQ20" s="10">
        <v>7</v>
      </c>
      <c r="BR20" s="10"/>
      <c r="BS20" s="10"/>
      <c r="BT20" s="10"/>
      <c r="BU20" s="10"/>
      <c r="BV20" s="10"/>
      <c r="BW20" s="10"/>
      <c r="BX20" s="10"/>
      <c r="BY20" s="10"/>
      <c r="BZ20" s="10"/>
      <c r="CA20" s="10"/>
      <c r="CB20" s="10"/>
      <c r="CC20" s="10">
        <v>8</v>
      </c>
      <c r="CD20" s="10">
        <v>8</v>
      </c>
      <c r="CE20" s="10"/>
      <c r="CF20" s="10"/>
      <c r="CG20" s="10"/>
      <c r="CH20" s="10"/>
      <c r="CI20" s="10"/>
      <c r="CJ20" s="10"/>
      <c r="CK20" s="10"/>
      <c r="CL20" s="10"/>
      <c r="CM20" s="10"/>
      <c r="CN20" s="10"/>
      <c r="CO20" s="10"/>
      <c r="CP20" s="10">
        <v>4</v>
      </c>
      <c r="CQ20" s="10">
        <v>4</v>
      </c>
      <c r="CR20" s="10"/>
      <c r="CS20" s="10"/>
      <c r="CT20" s="10"/>
      <c r="CU20" s="10"/>
      <c r="CV20" s="10"/>
      <c r="CW20" s="10"/>
      <c r="CX20" s="10"/>
      <c r="CY20" s="10"/>
      <c r="CZ20" s="10"/>
      <c r="DA20" s="10"/>
      <c r="DB20" s="10"/>
      <c r="DC20" s="10">
        <v>5</v>
      </c>
      <c r="DD20" s="10">
        <v>4</v>
      </c>
      <c r="DE20" s="10"/>
      <c r="DF20" s="10"/>
      <c r="DG20" s="10"/>
      <c r="DH20" s="10"/>
      <c r="DI20" s="10"/>
      <c r="DJ20" s="10"/>
      <c r="DK20" s="10"/>
      <c r="DL20" s="10"/>
      <c r="DM20" s="10"/>
      <c r="DN20" s="10"/>
      <c r="DO20" s="10"/>
      <c r="DP20" s="10">
        <v>1</v>
      </c>
      <c r="DQ20" s="10">
        <v>1</v>
      </c>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5">
        <v>75</v>
      </c>
      <c r="FD20" s="55">
        <v>150</v>
      </c>
      <c r="FE20" s="55"/>
      <c r="FF20" s="55"/>
      <c r="FG20" s="55"/>
      <c r="FH20" s="55"/>
      <c r="FI20" s="55"/>
      <c r="FJ20" s="55"/>
      <c r="FK20" s="55"/>
      <c r="FL20" s="55"/>
      <c r="FM20" s="55"/>
      <c r="FN20" s="55"/>
      <c r="FO20" s="55"/>
      <c r="FQ20" s="124">
        <v>101</v>
      </c>
      <c r="FR20" s="124">
        <v>122</v>
      </c>
      <c r="FS20" s="124"/>
      <c r="FT20" s="124"/>
      <c r="FU20" s="124"/>
      <c r="FV20" s="124"/>
      <c r="FW20" s="124"/>
      <c r="FX20" s="124"/>
      <c r="FY20" s="124"/>
      <c r="FZ20" s="124"/>
      <c r="GA20" s="124"/>
      <c r="GB20" s="124"/>
      <c r="GC20" s="124"/>
    </row>
    <row r="21" spans="1:185" x14ac:dyDescent="0.25">
      <c r="A21" s="25">
        <v>20</v>
      </c>
      <c r="B21" s="27" t="s">
        <v>233</v>
      </c>
      <c r="C21" s="10">
        <v>27207</v>
      </c>
      <c r="D21" s="10">
        <v>3917</v>
      </c>
      <c r="E21" s="10">
        <v>1578</v>
      </c>
      <c r="F21" s="10">
        <v>2.48</v>
      </c>
      <c r="G21" s="10">
        <v>0.14399999999999999</v>
      </c>
      <c r="H21" s="10">
        <v>34.340000000000003</v>
      </c>
      <c r="I21" s="10">
        <v>4.9400000000000004</v>
      </c>
      <c r="J21" s="10"/>
      <c r="K21" s="10"/>
      <c r="L21" s="10"/>
      <c r="M21" s="10"/>
      <c r="N21" s="10"/>
      <c r="O21" s="10"/>
      <c r="P21" s="10">
        <v>27724</v>
      </c>
      <c r="Q21" s="10">
        <v>3775</v>
      </c>
      <c r="R21" s="10">
        <v>1584</v>
      </c>
      <c r="S21" s="10">
        <v>2.38</v>
      </c>
      <c r="T21" s="16">
        <v>0.13600000000000001</v>
      </c>
      <c r="U21" s="10">
        <v>18.5</v>
      </c>
      <c r="V21" s="10">
        <v>2.52</v>
      </c>
      <c r="W21" s="10"/>
      <c r="X21" s="10"/>
      <c r="Y21" s="10"/>
      <c r="Z21" s="10"/>
      <c r="AA21" s="10"/>
      <c r="AB21" s="10"/>
      <c r="AC21" s="10">
        <v>24282</v>
      </c>
      <c r="AD21" s="10">
        <v>3423</v>
      </c>
      <c r="AE21" s="10">
        <v>1408</v>
      </c>
      <c r="AF21" s="10">
        <v>2.4300000000000002</v>
      </c>
      <c r="AG21" s="10">
        <v>0.14000000000000001</v>
      </c>
      <c r="AH21" s="10">
        <v>26.67</v>
      </c>
      <c r="AI21" s="10">
        <v>3.76</v>
      </c>
      <c r="AJ21" s="10"/>
      <c r="AK21" s="10"/>
      <c r="AL21" s="10"/>
      <c r="AM21" s="10"/>
      <c r="AN21" s="10"/>
      <c r="AO21" s="10"/>
      <c r="AP21" s="10">
        <v>28317</v>
      </c>
      <c r="AQ21" s="10">
        <v>4159</v>
      </c>
      <c r="AR21" s="10">
        <v>1627</v>
      </c>
      <c r="AS21" s="10">
        <v>2.56</v>
      </c>
      <c r="AT21" s="10">
        <v>0.14699999999999999</v>
      </c>
      <c r="AU21" s="10">
        <v>23.55</v>
      </c>
      <c r="AV21" s="10">
        <v>3.46</v>
      </c>
      <c r="AW21" s="10"/>
      <c r="AX21" s="10"/>
      <c r="AY21" s="10"/>
      <c r="AZ21" s="10"/>
      <c r="BA21" s="10"/>
      <c r="BB21" s="10"/>
      <c r="BC21" s="10">
        <v>21883</v>
      </c>
      <c r="BD21" s="10">
        <v>3137</v>
      </c>
      <c r="BE21" s="10">
        <v>1268</v>
      </c>
      <c r="BF21" s="10">
        <v>2.4700000000000002</v>
      </c>
      <c r="BG21" s="10">
        <v>0.14299999999999999</v>
      </c>
      <c r="BH21" s="10">
        <v>52.67</v>
      </c>
      <c r="BI21" s="10">
        <v>7.55</v>
      </c>
      <c r="BJ21" s="10"/>
      <c r="BK21" s="10"/>
      <c r="BL21" s="10"/>
      <c r="BM21" s="10"/>
      <c r="BN21" s="10"/>
      <c r="BO21" s="10"/>
      <c r="BP21" s="10">
        <v>21273</v>
      </c>
      <c r="BQ21" s="10">
        <v>2980</v>
      </c>
      <c r="BR21" s="10">
        <v>1271</v>
      </c>
      <c r="BS21" s="10">
        <v>2.34</v>
      </c>
      <c r="BT21" s="10">
        <v>0.14000000000000001</v>
      </c>
      <c r="BU21" s="10">
        <v>21.43</v>
      </c>
      <c r="BV21" s="10">
        <v>3</v>
      </c>
      <c r="BW21" s="10"/>
      <c r="BX21" s="10"/>
      <c r="BY21" s="10"/>
      <c r="BZ21" s="10"/>
      <c r="CA21" s="10"/>
      <c r="CB21" s="10"/>
      <c r="CC21" s="10">
        <v>25623</v>
      </c>
      <c r="CD21" s="10">
        <v>3561</v>
      </c>
      <c r="CE21" s="10">
        <v>1516</v>
      </c>
      <c r="CF21" s="10">
        <v>2.35</v>
      </c>
      <c r="CG21" s="10">
        <v>0.13900000000000001</v>
      </c>
      <c r="CH21" s="10">
        <v>19.89</v>
      </c>
      <c r="CI21" s="10">
        <v>2.76</v>
      </c>
      <c r="CJ21" s="10"/>
      <c r="CK21" s="10"/>
      <c r="CL21" s="10"/>
      <c r="CM21" s="10"/>
      <c r="CN21" s="10"/>
      <c r="CO21" s="10"/>
      <c r="CP21" s="10">
        <v>21967</v>
      </c>
      <c r="CQ21" s="10">
        <v>3331</v>
      </c>
      <c r="CR21" s="10">
        <v>1331</v>
      </c>
      <c r="CS21" s="10">
        <v>2.5</v>
      </c>
      <c r="CT21" s="10">
        <v>0.16</v>
      </c>
      <c r="CU21" s="10">
        <v>21.89</v>
      </c>
      <c r="CV21" s="10">
        <v>3.32</v>
      </c>
      <c r="CW21" s="10"/>
      <c r="CX21" s="10"/>
      <c r="CY21" s="10"/>
      <c r="CZ21" s="10"/>
      <c r="DA21" s="10"/>
      <c r="DB21" s="10"/>
      <c r="DC21" s="10">
        <v>21351</v>
      </c>
      <c r="DD21" s="10">
        <v>2744</v>
      </c>
      <c r="DE21" s="10">
        <v>1294</v>
      </c>
      <c r="DF21" s="10">
        <v>2.12</v>
      </c>
      <c r="DG21" s="10">
        <v>0.13</v>
      </c>
      <c r="DH21" s="10">
        <v>71.16</v>
      </c>
      <c r="DI21" s="18">
        <v>9.15</v>
      </c>
      <c r="DJ21" s="10"/>
      <c r="DK21" s="10"/>
      <c r="DL21" s="10"/>
      <c r="DM21" s="10"/>
      <c r="DN21" s="10"/>
      <c r="DO21" s="10"/>
      <c r="DP21" s="10">
        <v>14439</v>
      </c>
      <c r="DQ21" s="10">
        <v>1349</v>
      </c>
      <c r="DR21" s="10">
        <v>791</v>
      </c>
      <c r="DS21" s="10">
        <v>1.71</v>
      </c>
      <c r="DT21" s="10">
        <v>9.2999999999999999E-2</v>
      </c>
      <c r="DU21" s="10">
        <v>48.04</v>
      </c>
      <c r="DV21" s="10">
        <v>4.49</v>
      </c>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5">
        <v>315500</v>
      </c>
      <c r="FD21" s="55">
        <v>48000</v>
      </c>
      <c r="FE21" s="55">
        <v>18000</v>
      </c>
      <c r="FF21" s="55">
        <v>2.6</v>
      </c>
      <c r="FG21" s="55">
        <v>0.15</v>
      </c>
      <c r="FH21" s="55">
        <v>22</v>
      </c>
      <c r="FI21" s="55">
        <v>3.5</v>
      </c>
      <c r="FJ21" s="55"/>
      <c r="FK21" s="55"/>
      <c r="FL21" s="55"/>
      <c r="FM21" s="55"/>
      <c r="FN21" s="55"/>
      <c r="FO21" s="55"/>
      <c r="FQ21" s="124">
        <v>312343</v>
      </c>
      <c r="FR21" s="124">
        <v>49645</v>
      </c>
      <c r="FS21" s="124">
        <v>18618</v>
      </c>
      <c r="FT21" s="124">
        <v>2.67</v>
      </c>
      <c r="FU21" s="124">
        <v>0.159</v>
      </c>
      <c r="FV21" s="124">
        <v>23.82</v>
      </c>
      <c r="FW21" s="124">
        <v>3.78</v>
      </c>
      <c r="FX21" s="124"/>
      <c r="FY21" s="124"/>
      <c r="FZ21" s="124"/>
      <c r="GA21" s="124"/>
      <c r="GB21" s="124"/>
      <c r="GC21" s="124"/>
    </row>
    <row r="22" spans="1:185" x14ac:dyDescent="0.25">
      <c r="A22" s="25">
        <v>21</v>
      </c>
      <c r="B22" s="27" t="s">
        <v>10</v>
      </c>
      <c r="C22" s="10">
        <v>559</v>
      </c>
      <c r="D22" s="10">
        <v>18</v>
      </c>
      <c r="E22" s="10">
        <v>57</v>
      </c>
      <c r="F22" s="10">
        <v>7</v>
      </c>
      <c r="G22" s="10">
        <v>33.299999999999997</v>
      </c>
      <c r="H22" s="10">
        <v>354</v>
      </c>
      <c r="I22" s="10">
        <v>132</v>
      </c>
      <c r="J22" s="10">
        <v>98</v>
      </c>
      <c r="K22" s="10">
        <v>22</v>
      </c>
      <c r="L22" s="10">
        <v>18</v>
      </c>
      <c r="M22" s="10"/>
      <c r="N22" s="10"/>
      <c r="O22" s="10"/>
      <c r="P22" s="10">
        <v>564</v>
      </c>
      <c r="Q22" s="10">
        <v>16</v>
      </c>
      <c r="R22" s="10">
        <v>28</v>
      </c>
      <c r="S22" s="10">
        <v>15</v>
      </c>
      <c r="T22" s="16">
        <v>23.9</v>
      </c>
      <c r="U22" s="10">
        <v>279</v>
      </c>
      <c r="V22" s="10">
        <v>99</v>
      </c>
      <c r="W22" s="10">
        <v>83</v>
      </c>
      <c r="X22" s="10">
        <v>22</v>
      </c>
      <c r="Y22" s="10">
        <v>18.2</v>
      </c>
      <c r="Z22" s="10"/>
      <c r="AA22" s="10"/>
      <c r="AB22" s="10"/>
      <c r="AC22" s="10">
        <v>551</v>
      </c>
      <c r="AD22" s="10">
        <v>14</v>
      </c>
      <c r="AE22" s="10">
        <v>25</v>
      </c>
      <c r="AF22" s="10">
        <v>11</v>
      </c>
      <c r="AG22" s="10">
        <v>20.3</v>
      </c>
      <c r="AH22" s="10">
        <v>252</v>
      </c>
      <c r="AI22" s="10">
        <v>65</v>
      </c>
      <c r="AJ22" s="10">
        <v>83</v>
      </c>
      <c r="AK22" s="10">
        <v>20</v>
      </c>
      <c r="AL22" s="10">
        <v>18.399999999999999</v>
      </c>
      <c r="AM22" s="10"/>
      <c r="AN22" s="10"/>
      <c r="AO22" s="10"/>
      <c r="AP22" s="10">
        <v>516</v>
      </c>
      <c r="AQ22" s="10">
        <v>28</v>
      </c>
      <c r="AR22" s="10">
        <v>44</v>
      </c>
      <c r="AS22" s="10">
        <v>15</v>
      </c>
      <c r="AT22" s="10">
        <v>18.8</v>
      </c>
      <c r="AU22" s="10">
        <v>361</v>
      </c>
      <c r="AV22" s="10">
        <v>68</v>
      </c>
      <c r="AW22" s="10">
        <v>92</v>
      </c>
      <c r="AX22" s="10">
        <v>23</v>
      </c>
      <c r="AY22" s="10">
        <v>16.600000000000001</v>
      </c>
      <c r="AZ22" s="10"/>
      <c r="BA22" s="10"/>
      <c r="BB22" s="10"/>
      <c r="BC22" s="10">
        <v>563</v>
      </c>
      <c r="BD22" s="10">
        <v>31</v>
      </c>
      <c r="BE22" s="10">
        <v>69</v>
      </c>
      <c r="BF22" s="10">
        <v>13</v>
      </c>
      <c r="BG22" s="10">
        <v>21.9</v>
      </c>
      <c r="BH22" s="10">
        <v>242</v>
      </c>
      <c r="BI22" s="10">
        <v>90</v>
      </c>
      <c r="BJ22" s="10">
        <v>46</v>
      </c>
      <c r="BK22" s="10">
        <v>18</v>
      </c>
      <c r="BL22" s="10">
        <v>18.8</v>
      </c>
      <c r="BM22" s="10"/>
      <c r="BN22" s="10"/>
      <c r="BO22" s="10"/>
      <c r="BP22" s="10">
        <v>499</v>
      </c>
      <c r="BQ22" s="10">
        <v>41</v>
      </c>
      <c r="BR22" s="10">
        <v>75</v>
      </c>
      <c r="BS22" s="10">
        <v>7</v>
      </c>
      <c r="BT22" s="10">
        <v>20.2</v>
      </c>
      <c r="BU22" s="10">
        <v>297</v>
      </c>
      <c r="BV22" s="10">
        <v>136</v>
      </c>
      <c r="BW22" s="10">
        <v>88</v>
      </c>
      <c r="BX22" s="10">
        <v>19</v>
      </c>
      <c r="BY22" s="10">
        <v>16.100000000000001</v>
      </c>
      <c r="BZ22" s="10"/>
      <c r="CA22" s="10"/>
      <c r="CB22" s="10"/>
      <c r="CC22" s="10">
        <v>490</v>
      </c>
      <c r="CD22" s="10">
        <v>48</v>
      </c>
      <c r="CE22" s="10">
        <v>74</v>
      </c>
      <c r="CF22" s="10">
        <v>14</v>
      </c>
      <c r="CG22" s="10">
        <v>21.9</v>
      </c>
      <c r="CH22" s="10">
        <v>291</v>
      </c>
      <c r="CI22" s="10">
        <v>131</v>
      </c>
      <c r="CJ22" s="10">
        <v>156</v>
      </c>
      <c r="CK22" s="10">
        <v>21</v>
      </c>
      <c r="CL22" s="10">
        <v>15.8</v>
      </c>
      <c r="CM22" s="10"/>
      <c r="CN22" s="10"/>
      <c r="CO22" s="10"/>
      <c r="CP22" s="10">
        <v>474</v>
      </c>
      <c r="CQ22" s="10">
        <v>28</v>
      </c>
      <c r="CR22" s="10">
        <v>58</v>
      </c>
      <c r="CS22" s="10">
        <v>10</v>
      </c>
      <c r="CT22" s="10">
        <v>21.1</v>
      </c>
      <c r="CU22" s="10">
        <v>377</v>
      </c>
      <c r="CV22" s="10">
        <v>120</v>
      </c>
      <c r="CW22" s="10">
        <v>143</v>
      </c>
      <c r="CX22" s="10">
        <v>20</v>
      </c>
      <c r="CY22" s="10">
        <v>16.3</v>
      </c>
      <c r="CZ22" s="10"/>
      <c r="DA22" s="10"/>
      <c r="DB22" s="10"/>
      <c r="DC22" s="10">
        <v>568</v>
      </c>
      <c r="DD22" s="10">
        <v>38</v>
      </c>
      <c r="DE22" s="10">
        <v>69</v>
      </c>
      <c r="DF22" s="10">
        <v>14</v>
      </c>
      <c r="DG22" s="10">
        <v>23.3</v>
      </c>
      <c r="DH22" s="10">
        <v>494</v>
      </c>
      <c r="DI22" s="10">
        <v>157</v>
      </c>
      <c r="DJ22" s="10">
        <v>143</v>
      </c>
      <c r="DK22" s="10">
        <v>22</v>
      </c>
      <c r="DL22" s="10">
        <v>18.3</v>
      </c>
      <c r="DM22" s="10"/>
      <c r="DN22" s="10"/>
      <c r="DO22" s="10"/>
      <c r="DP22" s="10">
        <v>525</v>
      </c>
      <c r="DQ22" s="10">
        <v>60</v>
      </c>
      <c r="DR22" s="10">
        <v>85</v>
      </c>
      <c r="DS22" s="10">
        <v>8</v>
      </c>
      <c r="DT22" s="10">
        <v>24.4</v>
      </c>
      <c r="DU22" s="10">
        <v>133</v>
      </c>
      <c r="DV22" s="10">
        <v>192</v>
      </c>
      <c r="DW22" s="10">
        <v>67</v>
      </c>
      <c r="DX22" s="10">
        <v>21</v>
      </c>
      <c r="DY22" s="10">
        <v>17.5</v>
      </c>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5">
        <v>6540</v>
      </c>
      <c r="FD22" s="55">
        <v>175</v>
      </c>
      <c r="FE22" s="55">
        <v>600</v>
      </c>
      <c r="FF22" s="55">
        <v>75</v>
      </c>
      <c r="FG22" s="55">
        <v>30</v>
      </c>
      <c r="FH22" s="55">
        <v>6000</v>
      </c>
      <c r="FI22" s="55">
        <v>1500</v>
      </c>
      <c r="FJ22" s="55">
        <v>1200</v>
      </c>
      <c r="FK22" s="55">
        <v>20</v>
      </c>
      <c r="FL22" s="55">
        <v>18</v>
      </c>
      <c r="FM22" s="55"/>
      <c r="FN22" s="55"/>
      <c r="FO22" s="55"/>
      <c r="FQ22" s="124">
        <v>6494</v>
      </c>
      <c r="FR22" s="124">
        <v>210</v>
      </c>
      <c r="FS22" s="124">
        <v>574</v>
      </c>
      <c r="FT22" s="124">
        <v>101</v>
      </c>
      <c r="FU22" s="124">
        <v>26.2</v>
      </c>
      <c r="FV22" s="124">
        <v>5330</v>
      </c>
      <c r="FW22" s="124">
        <v>1489</v>
      </c>
      <c r="FX22" s="124">
        <v>1442</v>
      </c>
      <c r="FY22" s="124">
        <v>20</v>
      </c>
      <c r="FZ22" s="124">
        <v>17.77</v>
      </c>
      <c r="GA22" s="124"/>
      <c r="GB22" s="124"/>
      <c r="GC22" s="124"/>
    </row>
    <row r="23" spans="1:185" x14ac:dyDescent="0.25">
      <c r="A23" s="25">
        <v>22</v>
      </c>
      <c r="B23" s="27" t="s">
        <v>229</v>
      </c>
      <c r="C23" s="10">
        <v>239</v>
      </c>
      <c r="D23" s="10">
        <v>125</v>
      </c>
      <c r="E23" s="10">
        <v>98</v>
      </c>
      <c r="F23" s="10">
        <v>611</v>
      </c>
      <c r="G23" s="10">
        <v>60</v>
      </c>
      <c r="H23" s="10">
        <v>4.3</v>
      </c>
      <c r="I23" s="10">
        <v>1739</v>
      </c>
      <c r="J23" s="10">
        <v>79</v>
      </c>
      <c r="K23" s="10">
        <v>18.23</v>
      </c>
      <c r="L23" s="10">
        <v>563</v>
      </c>
      <c r="M23" s="10">
        <v>26</v>
      </c>
      <c r="N23" s="10">
        <v>6.38</v>
      </c>
      <c r="O23" s="10"/>
      <c r="P23" s="10">
        <v>267</v>
      </c>
      <c r="Q23" s="10">
        <v>111</v>
      </c>
      <c r="R23" s="10">
        <v>87</v>
      </c>
      <c r="S23" s="10">
        <v>794</v>
      </c>
      <c r="T23" s="16">
        <v>69</v>
      </c>
      <c r="U23" s="10">
        <v>4.3</v>
      </c>
      <c r="V23" s="10">
        <v>1837</v>
      </c>
      <c r="W23" s="10">
        <v>84</v>
      </c>
      <c r="X23" s="10">
        <v>17.96</v>
      </c>
      <c r="Y23" s="10">
        <v>541</v>
      </c>
      <c r="Z23" s="10">
        <v>25</v>
      </c>
      <c r="AA23" s="10">
        <v>6.64</v>
      </c>
      <c r="AB23" s="10"/>
      <c r="AC23" s="10">
        <v>271</v>
      </c>
      <c r="AD23" s="10">
        <v>101</v>
      </c>
      <c r="AE23" s="10">
        <v>104</v>
      </c>
      <c r="AF23" s="10">
        <v>472</v>
      </c>
      <c r="AG23" s="10">
        <v>60</v>
      </c>
      <c r="AH23" s="10">
        <v>4.3</v>
      </c>
      <c r="AI23" s="10">
        <v>1621</v>
      </c>
      <c r="AJ23" s="10">
        <v>81</v>
      </c>
      <c r="AK23" s="10">
        <v>19.559999999999999</v>
      </c>
      <c r="AL23" s="10">
        <v>655</v>
      </c>
      <c r="AM23" s="10">
        <v>33</v>
      </c>
      <c r="AN23" s="10">
        <v>5.53</v>
      </c>
      <c r="AO23" s="10"/>
      <c r="AP23" s="10">
        <v>386</v>
      </c>
      <c r="AQ23" s="10">
        <v>106</v>
      </c>
      <c r="AR23" s="10">
        <v>157</v>
      </c>
      <c r="AS23" s="10">
        <v>584</v>
      </c>
      <c r="AT23" s="10">
        <v>62</v>
      </c>
      <c r="AU23" s="10">
        <v>4.3</v>
      </c>
      <c r="AV23" s="10">
        <v>2343</v>
      </c>
      <c r="AW23" s="10">
        <v>102</v>
      </c>
      <c r="AX23" s="10">
        <v>13.51</v>
      </c>
      <c r="AY23" s="10">
        <v>731</v>
      </c>
      <c r="AZ23" s="10">
        <v>32</v>
      </c>
      <c r="BA23" s="10">
        <v>4.96</v>
      </c>
      <c r="BB23" s="10"/>
      <c r="BC23" s="10">
        <v>267</v>
      </c>
      <c r="BD23" s="10">
        <v>109</v>
      </c>
      <c r="BE23" s="10">
        <v>412</v>
      </c>
      <c r="BF23" s="10">
        <v>413</v>
      </c>
      <c r="BG23" s="10">
        <v>51</v>
      </c>
      <c r="BH23" s="10">
        <v>4.3</v>
      </c>
      <c r="BI23" s="10">
        <v>1859</v>
      </c>
      <c r="BJ23" s="10">
        <v>103</v>
      </c>
      <c r="BK23" s="10">
        <v>17.09</v>
      </c>
      <c r="BL23" s="10">
        <v>597</v>
      </c>
      <c r="BM23" s="10">
        <v>33</v>
      </c>
      <c r="BN23" s="10">
        <v>6.14</v>
      </c>
      <c r="BP23" s="10">
        <v>244</v>
      </c>
      <c r="BQ23" s="10">
        <v>102</v>
      </c>
      <c r="BR23" s="10">
        <v>211</v>
      </c>
      <c r="BS23" s="10">
        <v>102</v>
      </c>
      <c r="BT23" s="10">
        <v>46</v>
      </c>
      <c r="BU23" s="10">
        <v>4.3</v>
      </c>
      <c r="BV23" s="10">
        <v>1824</v>
      </c>
      <c r="BW23" s="10">
        <v>96</v>
      </c>
      <c r="BX23" s="10">
        <v>17.37</v>
      </c>
      <c r="BY23" s="10">
        <v>547</v>
      </c>
      <c r="BZ23" s="10">
        <v>29</v>
      </c>
      <c r="CA23" s="10">
        <v>6.62</v>
      </c>
      <c r="CB23" s="10"/>
      <c r="CC23" s="10">
        <v>246</v>
      </c>
      <c r="CD23" s="10">
        <v>105</v>
      </c>
      <c r="CE23" s="10">
        <v>127</v>
      </c>
      <c r="CF23" s="10">
        <v>455</v>
      </c>
      <c r="CG23" s="10">
        <v>49</v>
      </c>
      <c r="CH23" s="10">
        <v>4.3</v>
      </c>
      <c r="CI23" s="10">
        <v>2290</v>
      </c>
      <c r="CJ23" s="10">
        <v>109</v>
      </c>
      <c r="CK23" s="10">
        <v>13.85</v>
      </c>
      <c r="CL23" s="10">
        <v>669</v>
      </c>
      <c r="CM23" s="10">
        <v>32</v>
      </c>
      <c r="CN23" s="10">
        <v>5.43</v>
      </c>
      <c r="CO23" s="10"/>
      <c r="CP23" s="10">
        <v>235</v>
      </c>
      <c r="CQ23" s="10">
        <v>92</v>
      </c>
      <c r="CR23" s="10">
        <v>104</v>
      </c>
      <c r="CS23" s="10">
        <v>343</v>
      </c>
      <c r="CT23" s="10">
        <v>42</v>
      </c>
      <c r="CU23" s="10">
        <v>4.3</v>
      </c>
      <c r="CV23" s="10">
        <v>2352</v>
      </c>
      <c r="CW23" s="10">
        <v>112</v>
      </c>
      <c r="CX23" s="10">
        <v>13.47</v>
      </c>
      <c r="CY23" s="10">
        <v>619</v>
      </c>
      <c r="CZ23" s="10">
        <v>29</v>
      </c>
      <c r="DA23" s="10">
        <v>5.99</v>
      </c>
      <c r="DB23" s="10"/>
      <c r="DC23" s="10">
        <v>298</v>
      </c>
      <c r="DD23" s="10">
        <v>83</v>
      </c>
      <c r="DE23" s="10">
        <v>93</v>
      </c>
      <c r="DF23" s="10">
        <v>289</v>
      </c>
      <c r="DG23" s="10">
        <v>29</v>
      </c>
      <c r="DH23" s="10">
        <v>4.3</v>
      </c>
      <c r="DI23" s="10">
        <v>1190</v>
      </c>
      <c r="DJ23" s="10">
        <v>99</v>
      </c>
      <c r="DK23" s="10">
        <v>14.55</v>
      </c>
      <c r="DL23" s="10">
        <v>407</v>
      </c>
      <c r="DM23" s="10">
        <v>34</v>
      </c>
      <c r="DN23" s="10">
        <v>4.88</v>
      </c>
      <c r="DO23" s="10"/>
      <c r="DP23" s="10">
        <v>317</v>
      </c>
      <c r="DQ23" s="10">
        <v>94</v>
      </c>
      <c r="DR23" s="10">
        <v>376</v>
      </c>
      <c r="DS23" s="10">
        <v>102</v>
      </c>
      <c r="DT23" s="10">
        <v>20</v>
      </c>
      <c r="DU23" s="10">
        <v>4.3</v>
      </c>
      <c r="DV23" s="10">
        <v>0</v>
      </c>
      <c r="DW23" s="10">
        <v>0</v>
      </c>
      <c r="DX23" s="10">
        <v>0</v>
      </c>
      <c r="DY23" s="10">
        <v>0</v>
      </c>
      <c r="DZ23" s="10">
        <v>0</v>
      </c>
      <c r="EA23" s="10">
        <v>0</v>
      </c>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5">
        <v>3250</v>
      </c>
      <c r="FD23" s="55">
        <v>1400</v>
      </c>
      <c r="FE23" s="55">
        <v>1100</v>
      </c>
      <c r="FF23" s="55">
        <v>8500</v>
      </c>
      <c r="FG23" s="55">
        <v>65</v>
      </c>
      <c r="FH23" s="55">
        <v>4.45</v>
      </c>
      <c r="FI23" s="55">
        <v>22600</v>
      </c>
      <c r="FJ23" s="55">
        <v>94</v>
      </c>
      <c r="FK23" s="55">
        <v>14.25</v>
      </c>
      <c r="FL23" s="55">
        <v>4500</v>
      </c>
      <c r="FM23" s="55">
        <v>25</v>
      </c>
      <c r="FN23" s="55">
        <v>10</v>
      </c>
      <c r="FO23" s="55"/>
      <c r="FQ23" s="124">
        <v>2766</v>
      </c>
      <c r="FR23" s="124">
        <v>1263</v>
      </c>
      <c r="FS23" s="124">
        <v>1272</v>
      </c>
      <c r="FT23" s="124">
        <v>8156</v>
      </c>
      <c r="FU23" s="124">
        <v>62.1</v>
      </c>
      <c r="FV23" s="124">
        <v>4.45</v>
      </c>
      <c r="FW23" s="124">
        <v>22935</v>
      </c>
      <c r="FX23" s="124">
        <v>92.9</v>
      </c>
      <c r="FY23" s="124">
        <v>16.03</v>
      </c>
      <c r="FZ23" s="124">
        <v>4074</v>
      </c>
      <c r="GA23" s="124">
        <v>23.2</v>
      </c>
      <c r="GB23" s="124">
        <v>9.1199999999999992</v>
      </c>
      <c r="GC23" s="124"/>
    </row>
    <row r="24" spans="1:185" x14ac:dyDescent="0.25">
      <c r="A24" s="25">
        <v>23</v>
      </c>
      <c r="B24" s="27" t="s">
        <v>11</v>
      </c>
      <c r="C24" s="10">
        <v>36</v>
      </c>
      <c r="D24" s="10">
        <v>71.7</v>
      </c>
      <c r="E24" s="10">
        <v>25</v>
      </c>
      <c r="F24" s="10">
        <v>0</v>
      </c>
      <c r="G24" s="10">
        <v>3076</v>
      </c>
      <c r="H24" s="10">
        <v>140</v>
      </c>
      <c r="I24" s="10">
        <v>100</v>
      </c>
      <c r="J24" s="10">
        <v>95.07</v>
      </c>
      <c r="K24" s="10">
        <v>97</v>
      </c>
      <c r="L24" s="10">
        <v>100</v>
      </c>
      <c r="M24" s="10">
        <v>156</v>
      </c>
      <c r="N24" s="10"/>
      <c r="O24" s="10"/>
      <c r="P24" s="10">
        <v>42</v>
      </c>
      <c r="Q24" s="10">
        <v>70.5</v>
      </c>
      <c r="R24" s="10">
        <v>0</v>
      </c>
      <c r="S24" s="10">
        <v>0</v>
      </c>
      <c r="T24" s="16">
        <v>3058</v>
      </c>
      <c r="U24" s="10">
        <v>139</v>
      </c>
      <c r="V24" s="10">
        <v>100</v>
      </c>
      <c r="W24" s="10">
        <v>91.6</v>
      </c>
      <c r="X24" s="10">
        <v>97</v>
      </c>
      <c r="Y24" s="10">
        <v>100</v>
      </c>
      <c r="Z24" s="10">
        <v>165</v>
      </c>
      <c r="AA24" s="10"/>
      <c r="AB24" s="10"/>
      <c r="AC24" s="10">
        <v>45</v>
      </c>
      <c r="AD24" s="10">
        <v>70.62</v>
      </c>
      <c r="AE24" s="10">
        <v>0</v>
      </c>
      <c r="AF24" s="10">
        <v>0</v>
      </c>
      <c r="AG24" s="10">
        <v>2816</v>
      </c>
      <c r="AH24" s="10">
        <v>141</v>
      </c>
      <c r="AI24" s="10">
        <v>100</v>
      </c>
      <c r="AJ24" s="10">
        <v>92.76</v>
      </c>
      <c r="AK24" s="10">
        <v>98</v>
      </c>
      <c r="AL24" s="10">
        <v>95</v>
      </c>
      <c r="AM24" s="10">
        <v>205</v>
      </c>
      <c r="AN24" s="10"/>
      <c r="AO24" s="10"/>
      <c r="AP24" s="10">
        <v>39</v>
      </c>
      <c r="AQ24" s="10">
        <v>70.88</v>
      </c>
      <c r="AR24" s="10">
        <v>8</v>
      </c>
      <c r="AS24" s="10">
        <v>0</v>
      </c>
      <c r="AT24" s="10">
        <v>3116</v>
      </c>
      <c r="AU24" s="10">
        <v>135</v>
      </c>
      <c r="AV24" s="10">
        <v>100</v>
      </c>
      <c r="AW24" s="10">
        <v>93.99</v>
      </c>
      <c r="AX24" s="10">
        <v>98</v>
      </c>
      <c r="AY24" s="10">
        <v>100</v>
      </c>
      <c r="AZ24" s="10">
        <v>215</v>
      </c>
      <c r="BA24" s="10"/>
      <c r="BB24" s="10"/>
      <c r="BC24" s="10">
        <v>42</v>
      </c>
      <c r="BD24" s="10">
        <v>71.12</v>
      </c>
      <c r="BE24" s="10">
        <v>6</v>
      </c>
      <c r="BF24" s="10">
        <v>0</v>
      </c>
      <c r="BG24" s="10">
        <v>2550</v>
      </c>
      <c r="BH24" s="10">
        <v>142</v>
      </c>
      <c r="BI24" s="10">
        <v>100</v>
      </c>
      <c r="BJ24" s="10">
        <v>95.34</v>
      </c>
      <c r="BK24" s="10">
        <v>100</v>
      </c>
      <c r="BL24" s="10">
        <v>98</v>
      </c>
      <c r="BM24" s="10">
        <v>220</v>
      </c>
      <c r="BP24" s="10">
        <v>31</v>
      </c>
      <c r="BQ24" s="10">
        <v>70.66</v>
      </c>
      <c r="BR24" s="10">
        <v>0</v>
      </c>
      <c r="BS24" s="10">
        <v>0</v>
      </c>
      <c r="BT24" s="10">
        <v>3111</v>
      </c>
      <c r="BU24" s="10">
        <v>164</v>
      </c>
      <c r="BV24" s="10">
        <v>100</v>
      </c>
      <c r="BW24" s="10">
        <v>93.44</v>
      </c>
      <c r="BX24" s="10">
        <v>99</v>
      </c>
      <c r="BY24" s="10">
        <v>99</v>
      </c>
      <c r="BZ24" s="10">
        <v>219</v>
      </c>
      <c r="CA24" s="10"/>
      <c r="CB24" s="10"/>
      <c r="CC24" s="10">
        <v>54</v>
      </c>
      <c r="CD24" s="10">
        <v>70.650000000000006</v>
      </c>
      <c r="CE24" s="10">
        <v>18</v>
      </c>
      <c r="CF24" s="10">
        <v>0</v>
      </c>
      <c r="CG24" s="10">
        <v>3631</v>
      </c>
      <c r="CH24" s="10">
        <v>173</v>
      </c>
      <c r="CI24" s="10">
        <v>100</v>
      </c>
      <c r="CJ24" s="10">
        <v>99.45</v>
      </c>
      <c r="CK24" s="10">
        <v>98</v>
      </c>
      <c r="CL24" s="10">
        <v>95</v>
      </c>
      <c r="CM24" s="10">
        <v>266</v>
      </c>
      <c r="CN24" s="10"/>
      <c r="CO24" s="10"/>
      <c r="CP24" s="10">
        <v>117</v>
      </c>
      <c r="CQ24" s="10">
        <v>70.59</v>
      </c>
      <c r="CR24" s="10">
        <v>8</v>
      </c>
      <c r="CS24" s="10">
        <v>0</v>
      </c>
      <c r="CT24" s="10">
        <v>2319</v>
      </c>
      <c r="CU24" s="10">
        <v>116</v>
      </c>
      <c r="CV24" s="10">
        <v>100</v>
      </c>
      <c r="CW24" s="10">
        <v>96.5</v>
      </c>
      <c r="CX24" s="10">
        <v>99</v>
      </c>
      <c r="CY24" s="10">
        <v>99</v>
      </c>
      <c r="CZ24" s="10">
        <v>253</v>
      </c>
      <c r="DA24" s="10"/>
      <c r="DB24" s="10"/>
      <c r="DC24" s="10">
        <v>45</v>
      </c>
      <c r="DD24" s="10">
        <v>70.3</v>
      </c>
      <c r="DE24" s="10">
        <v>0</v>
      </c>
      <c r="DF24" s="10">
        <v>0</v>
      </c>
      <c r="DG24" s="10">
        <v>2048</v>
      </c>
      <c r="DH24" s="10">
        <v>93</v>
      </c>
      <c r="DI24" s="10">
        <v>100</v>
      </c>
      <c r="DJ24" s="10">
        <v>97.9</v>
      </c>
      <c r="DK24" s="10">
        <v>97</v>
      </c>
      <c r="DL24" s="10">
        <v>100</v>
      </c>
      <c r="DM24" s="10">
        <v>160</v>
      </c>
      <c r="DN24" s="10"/>
      <c r="DO24" s="10"/>
      <c r="DP24" s="10">
        <v>28</v>
      </c>
      <c r="DQ24" s="10">
        <v>70.290000000000006</v>
      </c>
      <c r="DR24" s="10">
        <v>28</v>
      </c>
      <c r="DS24" s="10">
        <v>0</v>
      </c>
      <c r="DT24" s="10">
        <v>3103</v>
      </c>
      <c r="DU24" s="10">
        <v>148</v>
      </c>
      <c r="DV24" s="10">
        <v>100</v>
      </c>
      <c r="DW24" s="10">
        <v>97.04</v>
      </c>
      <c r="DX24" s="10">
        <v>97</v>
      </c>
      <c r="DY24" s="10">
        <v>100</v>
      </c>
      <c r="DZ24" s="10">
        <v>174</v>
      </c>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5">
        <v>500</v>
      </c>
      <c r="FD24" s="55">
        <v>70.5</v>
      </c>
      <c r="FE24" s="55">
        <v>5</v>
      </c>
      <c r="FF24" s="55">
        <v>35</v>
      </c>
      <c r="FG24" s="55">
        <v>35000</v>
      </c>
      <c r="FH24" s="55">
        <v>145</v>
      </c>
      <c r="FI24" s="55">
        <v>97</v>
      </c>
      <c r="FJ24" s="55">
        <v>95</v>
      </c>
      <c r="FK24" s="55">
        <v>95</v>
      </c>
      <c r="FL24" s="55">
        <v>95</v>
      </c>
      <c r="FM24" s="55">
        <v>150</v>
      </c>
      <c r="FN24" s="55"/>
      <c r="FO24" s="55"/>
      <c r="FQ24" s="124">
        <v>552</v>
      </c>
      <c r="FR24" s="124">
        <v>72.19</v>
      </c>
      <c r="FS24" s="124">
        <v>9.58</v>
      </c>
      <c r="FT24" s="124">
        <v>17.079999999999998</v>
      </c>
      <c r="FU24" s="124">
        <v>33041</v>
      </c>
      <c r="FV24" s="124">
        <v>134</v>
      </c>
      <c r="FW24" s="124">
        <v>100</v>
      </c>
      <c r="FX24" s="124">
        <v>94.73</v>
      </c>
      <c r="FY24" s="124">
        <v>96.9</v>
      </c>
      <c r="FZ24" s="124">
        <v>98.8</v>
      </c>
      <c r="GA24" s="124">
        <v>162</v>
      </c>
      <c r="GB24" s="124"/>
      <c r="GC24" s="124"/>
    </row>
    <row r="25" spans="1:185" x14ac:dyDescent="0.25">
      <c r="A25" s="25">
        <v>24</v>
      </c>
      <c r="B25" s="27" t="s">
        <v>12</v>
      </c>
      <c r="C25" s="10">
        <v>0</v>
      </c>
      <c r="D25" s="10">
        <v>59</v>
      </c>
      <c r="E25" s="10">
        <v>0</v>
      </c>
      <c r="F25" s="10">
        <v>87.7</v>
      </c>
      <c r="G25" s="10">
        <v>0.33</v>
      </c>
      <c r="H25" s="10">
        <v>0</v>
      </c>
      <c r="I25" s="10">
        <v>15</v>
      </c>
      <c r="J25" s="10"/>
      <c r="K25" s="10"/>
      <c r="L25" s="10"/>
      <c r="M25" s="10"/>
      <c r="N25" s="10"/>
      <c r="O25" s="10"/>
      <c r="P25" s="10">
        <v>0</v>
      </c>
      <c r="Q25" s="10">
        <v>30</v>
      </c>
      <c r="R25" s="10">
        <v>0</v>
      </c>
      <c r="S25" s="10">
        <v>87.7</v>
      </c>
      <c r="T25" s="16">
        <v>0.39</v>
      </c>
      <c r="U25" s="10">
        <v>0</v>
      </c>
      <c r="V25" s="10">
        <v>9</v>
      </c>
      <c r="W25" s="10"/>
      <c r="X25" s="10"/>
      <c r="Y25" s="10"/>
      <c r="Z25" s="10"/>
      <c r="AA25" s="10"/>
      <c r="AB25" s="10"/>
      <c r="AC25" s="10">
        <v>0</v>
      </c>
      <c r="AD25" s="10">
        <v>34</v>
      </c>
      <c r="AE25" s="10">
        <v>0</v>
      </c>
      <c r="AF25" s="10">
        <v>83.9</v>
      </c>
      <c r="AG25" s="10">
        <v>1.41</v>
      </c>
      <c r="AH25" s="10">
        <v>0</v>
      </c>
      <c r="AI25" s="10">
        <v>8</v>
      </c>
      <c r="AJ25" s="10"/>
      <c r="AK25" s="10"/>
      <c r="AL25" s="10"/>
      <c r="AM25" s="10"/>
      <c r="AN25" s="10"/>
      <c r="AO25" s="10"/>
      <c r="AP25" s="10">
        <v>0</v>
      </c>
      <c r="AQ25" s="10">
        <v>31</v>
      </c>
      <c r="AR25" s="10">
        <v>5</v>
      </c>
      <c r="AS25" s="10">
        <v>83.9</v>
      </c>
      <c r="AT25" s="10">
        <v>0.26</v>
      </c>
      <c r="AU25" s="10">
        <v>0</v>
      </c>
      <c r="AV25" s="10">
        <v>8</v>
      </c>
      <c r="AW25" s="10"/>
      <c r="AX25" s="10"/>
      <c r="AY25" s="10"/>
      <c r="AZ25" s="10"/>
      <c r="BA25" s="10"/>
      <c r="BB25" s="10"/>
      <c r="BC25" s="10">
        <v>0</v>
      </c>
      <c r="BD25" s="10">
        <v>27</v>
      </c>
      <c r="BE25" s="10">
        <v>0</v>
      </c>
      <c r="BF25" s="10">
        <v>84.1</v>
      </c>
      <c r="BG25" s="10">
        <v>0.48</v>
      </c>
      <c r="BH25" s="10">
        <v>0</v>
      </c>
      <c r="BI25" s="10">
        <v>6</v>
      </c>
      <c r="BJ25" s="10"/>
      <c r="BK25" s="10"/>
      <c r="BL25" s="10"/>
      <c r="BM25" s="10"/>
      <c r="BN25" s="10"/>
      <c r="BO25" s="10"/>
      <c r="BP25" s="10">
        <v>0</v>
      </c>
      <c r="BQ25" s="10">
        <v>33</v>
      </c>
      <c r="BR25" s="10">
        <v>0</v>
      </c>
      <c r="BS25" s="10">
        <v>84.1</v>
      </c>
      <c r="BT25" s="38">
        <v>5.0999999999999997E-2</v>
      </c>
      <c r="BU25" s="10">
        <v>0</v>
      </c>
      <c r="BV25" s="10">
        <v>7</v>
      </c>
      <c r="BW25" s="10"/>
      <c r="BX25" s="10"/>
      <c r="BY25" s="10"/>
      <c r="BZ25" s="10"/>
      <c r="CA25" s="10"/>
      <c r="CB25" s="10"/>
      <c r="CC25" s="10">
        <v>0</v>
      </c>
      <c r="CD25" s="10">
        <v>32</v>
      </c>
      <c r="CE25" s="10">
        <v>0</v>
      </c>
      <c r="CF25" s="10">
        <v>84.1</v>
      </c>
      <c r="CG25" s="10">
        <v>0.92</v>
      </c>
      <c r="CH25" s="10">
        <v>0</v>
      </c>
      <c r="CI25" s="10">
        <v>8</v>
      </c>
      <c r="CJ25" s="10"/>
      <c r="CK25" s="10"/>
      <c r="CL25" s="10"/>
      <c r="CM25" s="10"/>
      <c r="CN25" s="10"/>
      <c r="CO25" s="10"/>
      <c r="CP25" s="10">
        <v>0</v>
      </c>
      <c r="CQ25" s="10">
        <v>24</v>
      </c>
      <c r="CR25" s="10">
        <v>0</v>
      </c>
      <c r="CS25" s="10">
        <v>84.1</v>
      </c>
      <c r="CT25" s="10">
        <v>0.53</v>
      </c>
      <c r="CU25" s="10">
        <v>0</v>
      </c>
      <c r="CV25" s="10">
        <v>13</v>
      </c>
      <c r="CW25" s="10"/>
      <c r="CX25" s="10"/>
      <c r="CY25" s="10"/>
      <c r="CZ25" s="10"/>
      <c r="DA25" s="10"/>
      <c r="DB25" s="10"/>
      <c r="DC25" s="10">
        <v>0</v>
      </c>
      <c r="DD25" s="10">
        <v>30</v>
      </c>
      <c r="DE25" s="10">
        <v>0</v>
      </c>
      <c r="DF25" s="10">
        <v>84.1</v>
      </c>
      <c r="DG25" s="10">
        <v>0.21</v>
      </c>
      <c r="DH25" s="10">
        <v>0</v>
      </c>
      <c r="DI25" s="10">
        <v>3</v>
      </c>
      <c r="DJ25" s="10"/>
      <c r="DK25" s="10"/>
      <c r="DL25" s="10"/>
      <c r="DM25" s="10"/>
      <c r="DN25" s="10"/>
      <c r="DO25" s="10"/>
      <c r="DP25" s="10">
        <v>0</v>
      </c>
      <c r="DQ25" s="10">
        <v>28</v>
      </c>
      <c r="DR25" s="10">
        <v>0</v>
      </c>
      <c r="DS25" s="10">
        <v>84.3</v>
      </c>
      <c r="DT25" s="10">
        <v>0.08</v>
      </c>
      <c r="DU25" s="10">
        <v>0</v>
      </c>
      <c r="DV25" s="10">
        <v>2</v>
      </c>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5">
        <v>3</v>
      </c>
      <c r="FD25" s="55">
        <v>450</v>
      </c>
      <c r="FE25" s="55">
        <v>3</v>
      </c>
      <c r="FF25" s="55">
        <v>90</v>
      </c>
      <c r="FG25" s="55">
        <v>7.5</v>
      </c>
      <c r="FH25" s="55">
        <v>0.5</v>
      </c>
      <c r="FI25" s="55">
        <v>125</v>
      </c>
      <c r="FJ25" s="55"/>
      <c r="FK25" s="55"/>
      <c r="FL25" s="55"/>
      <c r="FM25" s="55"/>
      <c r="FN25" s="55"/>
      <c r="FO25" s="55"/>
      <c r="FQ25" s="124">
        <v>0</v>
      </c>
      <c r="FR25" s="124">
        <v>411</v>
      </c>
      <c r="FS25" s="124">
        <v>0</v>
      </c>
      <c r="FT25" s="124">
        <v>85.18</v>
      </c>
      <c r="FU25" s="124">
        <v>9.61</v>
      </c>
      <c r="FV25" s="124">
        <v>0</v>
      </c>
      <c r="FW25" s="124">
        <v>133</v>
      </c>
      <c r="FX25" s="124"/>
      <c r="FY25" s="124"/>
      <c r="FZ25" s="124"/>
      <c r="GA25" s="124"/>
      <c r="GB25" s="124"/>
      <c r="GC25" s="124"/>
    </row>
    <row r="26" spans="1:185" x14ac:dyDescent="0.25">
      <c r="A26" s="25">
        <v>25</v>
      </c>
      <c r="B26" s="27" t="s">
        <v>13</v>
      </c>
      <c r="C26" s="10">
        <v>440</v>
      </c>
      <c r="D26" s="10">
        <v>262</v>
      </c>
      <c r="E26" s="10">
        <v>0.71</v>
      </c>
      <c r="F26" s="10">
        <v>0.75</v>
      </c>
      <c r="G26" s="10">
        <v>12716</v>
      </c>
      <c r="H26" s="10">
        <v>1343</v>
      </c>
      <c r="I26" s="10">
        <v>6659</v>
      </c>
      <c r="J26" s="10">
        <v>100</v>
      </c>
      <c r="K26" s="10"/>
      <c r="L26" s="10"/>
      <c r="M26" s="10"/>
      <c r="N26" s="10"/>
      <c r="O26" s="10"/>
      <c r="P26" s="10">
        <v>376</v>
      </c>
      <c r="Q26" s="10">
        <v>0</v>
      </c>
      <c r="R26" s="10">
        <v>56.04</v>
      </c>
      <c r="S26" s="10">
        <v>55.92</v>
      </c>
      <c r="T26" s="16">
        <v>2200</v>
      </c>
      <c r="U26" s="10">
        <v>2006</v>
      </c>
      <c r="V26" s="10">
        <v>2349</v>
      </c>
      <c r="W26" s="10">
        <v>37</v>
      </c>
      <c r="X26" s="10"/>
      <c r="Y26" s="10"/>
      <c r="Z26" s="10"/>
      <c r="AA26" s="10"/>
      <c r="AB26" s="10"/>
      <c r="AC26" s="10">
        <v>306</v>
      </c>
      <c r="AD26" s="10">
        <v>166</v>
      </c>
      <c r="AE26" s="10">
        <v>64.010000000000005</v>
      </c>
      <c r="AF26" s="10">
        <v>62</v>
      </c>
      <c r="AG26" s="10">
        <v>33547</v>
      </c>
      <c r="AH26" s="10">
        <v>50</v>
      </c>
      <c r="AI26" s="10">
        <v>2667</v>
      </c>
      <c r="AJ26" s="10">
        <v>103</v>
      </c>
      <c r="AK26" s="10"/>
      <c r="AL26" s="10"/>
      <c r="AM26" s="10"/>
      <c r="AN26" s="10"/>
      <c r="AO26" s="10"/>
      <c r="AP26" s="10">
        <v>250</v>
      </c>
      <c r="AQ26" s="10">
        <v>1992</v>
      </c>
      <c r="AR26" s="10">
        <v>66.86</v>
      </c>
      <c r="AS26" s="10">
        <v>64.25</v>
      </c>
      <c r="AT26" s="10">
        <v>2200</v>
      </c>
      <c r="AU26" s="10">
        <v>642</v>
      </c>
      <c r="AV26" s="10">
        <v>0</v>
      </c>
      <c r="AW26" s="10">
        <v>36</v>
      </c>
      <c r="AX26" s="10"/>
      <c r="AY26" s="10"/>
      <c r="AZ26" s="10"/>
      <c r="BA26" s="10"/>
      <c r="BB26" s="10"/>
      <c r="BC26" s="10">
        <v>374</v>
      </c>
      <c r="BD26" s="10">
        <v>836</v>
      </c>
      <c r="BE26" s="10">
        <v>69.75</v>
      </c>
      <c r="BF26" s="10">
        <v>67.040000000000006</v>
      </c>
      <c r="BG26" s="10">
        <v>2200</v>
      </c>
      <c r="BH26" s="10">
        <v>97</v>
      </c>
      <c r="BI26" s="10">
        <v>4324</v>
      </c>
      <c r="BJ26" s="10">
        <v>7</v>
      </c>
      <c r="BK26" s="10"/>
      <c r="BL26" s="10"/>
      <c r="BM26" s="10"/>
      <c r="BN26" s="10"/>
      <c r="BO26" s="10"/>
      <c r="BP26" s="10">
        <v>441</v>
      </c>
      <c r="BQ26" s="10">
        <v>99</v>
      </c>
      <c r="BR26" s="10">
        <v>83.04</v>
      </c>
      <c r="BS26" s="10">
        <v>80.930000000000007</v>
      </c>
      <c r="BT26" s="10">
        <v>2200</v>
      </c>
      <c r="BU26" s="10">
        <v>0</v>
      </c>
      <c r="BV26" s="10">
        <v>115</v>
      </c>
      <c r="BW26" s="10">
        <v>0</v>
      </c>
      <c r="BX26" s="10"/>
      <c r="BY26" s="10"/>
      <c r="BZ26" s="10"/>
      <c r="CA26" s="10"/>
      <c r="CB26" s="10"/>
      <c r="CC26" s="10">
        <v>286</v>
      </c>
      <c r="CD26" s="10">
        <v>88</v>
      </c>
      <c r="CE26" s="10">
        <v>92.9</v>
      </c>
      <c r="CF26" s="10">
        <v>92.94</v>
      </c>
      <c r="CG26" s="10">
        <v>2200</v>
      </c>
      <c r="CH26" s="10">
        <v>0</v>
      </c>
      <c r="CI26" s="10">
        <v>4333</v>
      </c>
      <c r="CJ26" s="10">
        <v>173</v>
      </c>
      <c r="CK26" s="10"/>
      <c r="CL26" s="10"/>
      <c r="CM26" s="10"/>
      <c r="CN26" s="10"/>
      <c r="CO26" s="10"/>
      <c r="CP26" s="10">
        <v>258</v>
      </c>
      <c r="CQ26" s="10">
        <v>18</v>
      </c>
      <c r="CR26" s="10">
        <v>95.11</v>
      </c>
      <c r="CS26" s="10">
        <v>95.1</v>
      </c>
      <c r="CT26" s="10">
        <v>2200</v>
      </c>
      <c r="CU26" s="10">
        <v>0</v>
      </c>
      <c r="CV26" s="10">
        <v>8360</v>
      </c>
      <c r="CW26" s="10">
        <v>55</v>
      </c>
      <c r="CX26" s="10"/>
      <c r="CY26" s="10"/>
      <c r="CZ26" s="10"/>
      <c r="DA26" s="10"/>
      <c r="DB26" s="10"/>
      <c r="DC26" s="10">
        <v>827</v>
      </c>
      <c r="DD26" s="10">
        <v>1648</v>
      </c>
      <c r="DE26" s="10">
        <v>96.12</v>
      </c>
      <c r="DF26" s="10">
        <v>96.09</v>
      </c>
      <c r="DG26" s="10">
        <v>2200</v>
      </c>
      <c r="DH26" s="10">
        <v>4334</v>
      </c>
      <c r="DI26" s="10">
        <v>1355</v>
      </c>
      <c r="DJ26" s="10">
        <v>16</v>
      </c>
      <c r="DK26" s="10"/>
      <c r="DL26" s="10"/>
      <c r="DM26" s="10"/>
      <c r="DN26" s="10"/>
      <c r="DO26" s="10"/>
      <c r="DP26" s="10">
        <v>794</v>
      </c>
      <c r="DQ26" s="10">
        <v>124</v>
      </c>
      <c r="DR26" s="10">
        <v>96.57</v>
      </c>
      <c r="DS26" s="10">
        <v>96.53</v>
      </c>
      <c r="DT26" s="10">
        <v>2200</v>
      </c>
      <c r="DU26" s="10">
        <v>7120</v>
      </c>
      <c r="DV26" s="10">
        <v>6840</v>
      </c>
      <c r="DW26" s="10">
        <v>0</v>
      </c>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5">
        <v>7250</v>
      </c>
      <c r="FD26" s="55">
        <v>4250</v>
      </c>
      <c r="FE26" s="55">
        <v>97.5</v>
      </c>
      <c r="FF26" s="55">
        <v>97.5</v>
      </c>
      <c r="FG26" s="55">
        <v>100000</v>
      </c>
      <c r="FH26" s="55">
        <v>30000</v>
      </c>
      <c r="FI26" s="55">
        <v>10000</v>
      </c>
      <c r="FJ26" s="55">
        <v>400</v>
      </c>
      <c r="FK26" s="55"/>
      <c r="FL26" s="55"/>
      <c r="FM26" s="55"/>
      <c r="FN26" s="55"/>
      <c r="FO26" s="55"/>
      <c r="FQ26" s="124">
        <v>6524</v>
      </c>
      <c r="FR26" s="124">
        <v>4607</v>
      </c>
      <c r="FS26" s="124">
        <v>97.47</v>
      </c>
      <c r="FT26" s="124">
        <v>97.49</v>
      </c>
      <c r="FU26" s="124">
        <v>215032</v>
      </c>
      <c r="FV26" s="124">
        <v>23699</v>
      </c>
      <c r="FW26" s="124">
        <v>17489</v>
      </c>
      <c r="FX26" s="124">
        <v>341</v>
      </c>
      <c r="FY26" s="124"/>
      <c r="FZ26" s="124"/>
      <c r="GA26" s="124"/>
      <c r="GB26" s="124"/>
      <c r="GC26" s="124"/>
    </row>
    <row r="27" spans="1:185" x14ac:dyDescent="0.25">
      <c r="A27" s="25">
        <v>26</v>
      </c>
      <c r="B27" s="27" t="s">
        <v>187</v>
      </c>
      <c r="C27" s="10">
        <v>92</v>
      </c>
      <c r="D27" s="10">
        <v>41</v>
      </c>
      <c r="E27" s="10">
        <v>133</v>
      </c>
      <c r="F27" s="10">
        <v>6</v>
      </c>
      <c r="G27" s="10">
        <v>0</v>
      </c>
      <c r="H27" s="10">
        <v>13</v>
      </c>
      <c r="I27" s="10">
        <v>0.65</v>
      </c>
      <c r="J27" s="10"/>
      <c r="K27" s="10"/>
      <c r="L27" s="10"/>
      <c r="M27" s="10"/>
      <c r="N27" s="10"/>
      <c r="O27" s="10"/>
      <c r="P27" s="10">
        <v>92</v>
      </c>
      <c r="Q27" s="10">
        <v>40</v>
      </c>
      <c r="R27" s="10">
        <v>132</v>
      </c>
      <c r="S27" s="10">
        <v>12</v>
      </c>
      <c r="T27" s="16">
        <v>0</v>
      </c>
      <c r="U27" s="10">
        <v>16</v>
      </c>
      <c r="V27" s="10">
        <v>1.5</v>
      </c>
      <c r="W27" s="10"/>
      <c r="X27" s="10"/>
      <c r="Y27" s="10"/>
      <c r="Z27" s="10"/>
      <c r="AA27" s="10"/>
      <c r="AB27" s="10"/>
      <c r="AC27" s="10">
        <v>93</v>
      </c>
      <c r="AD27" s="10">
        <v>196</v>
      </c>
      <c r="AE27" s="10">
        <v>289</v>
      </c>
      <c r="AF27" s="10">
        <v>14.5</v>
      </c>
      <c r="AG27" s="10">
        <v>0</v>
      </c>
      <c r="AH27" s="10">
        <v>32</v>
      </c>
      <c r="AI27" s="10">
        <v>1.6</v>
      </c>
      <c r="AJ27" s="10"/>
      <c r="AK27" s="10"/>
      <c r="AL27" s="10"/>
      <c r="AM27" s="10"/>
      <c r="AN27" s="10"/>
      <c r="AO27" s="10"/>
      <c r="AP27" s="10">
        <v>237</v>
      </c>
      <c r="AQ27" s="10">
        <v>111</v>
      </c>
      <c r="AR27" s="10">
        <v>348</v>
      </c>
      <c r="AS27" s="10">
        <v>15.1</v>
      </c>
      <c r="AT27" s="15">
        <v>0</v>
      </c>
      <c r="AU27" s="10">
        <v>40</v>
      </c>
      <c r="AV27" s="10">
        <v>1.7</v>
      </c>
      <c r="AW27" s="10"/>
      <c r="AX27" s="10"/>
      <c r="AY27" s="10"/>
      <c r="AZ27" s="10"/>
      <c r="BA27" s="10"/>
      <c r="BB27" s="10"/>
      <c r="BC27" s="10">
        <v>176</v>
      </c>
      <c r="BD27" s="10">
        <v>84</v>
      </c>
      <c r="BE27" s="10">
        <v>260</v>
      </c>
      <c r="BF27" s="10">
        <v>14.4</v>
      </c>
      <c r="BG27" s="10">
        <v>0</v>
      </c>
      <c r="BH27" s="10">
        <v>28</v>
      </c>
      <c r="BI27" s="10">
        <v>1.6</v>
      </c>
      <c r="BJ27" s="10"/>
      <c r="BK27" s="10"/>
      <c r="BL27" s="10"/>
      <c r="BM27" s="10"/>
      <c r="BN27" s="10"/>
      <c r="BO27" s="10"/>
      <c r="BP27" s="10">
        <v>161</v>
      </c>
      <c r="BQ27" s="10">
        <v>77</v>
      </c>
      <c r="BR27" s="10">
        <v>238</v>
      </c>
      <c r="BS27" s="10">
        <v>13.2</v>
      </c>
      <c r="BT27" s="10">
        <v>0</v>
      </c>
      <c r="BU27" s="10">
        <v>23</v>
      </c>
      <c r="BV27" s="10">
        <v>1.3</v>
      </c>
      <c r="BW27" s="10"/>
      <c r="BX27" s="10"/>
      <c r="BY27" s="10"/>
      <c r="BZ27" s="10"/>
      <c r="CA27" s="10"/>
      <c r="CB27" s="10"/>
      <c r="CC27" s="10">
        <v>195</v>
      </c>
      <c r="CD27" s="10">
        <v>97</v>
      </c>
      <c r="CE27" s="10">
        <v>292</v>
      </c>
      <c r="CF27" s="51">
        <v>13.9</v>
      </c>
      <c r="CG27" s="10">
        <v>0</v>
      </c>
      <c r="CH27" s="10">
        <v>33</v>
      </c>
      <c r="CI27" s="10">
        <v>1.6</v>
      </c>
      <c r="CJ27" s="10"/>
      <c r="CK27" s="10"/>
      <c r="CL27" s="10"/>
      <c r="CM27" s="10"/>
      <c r="CN27" s="10"/>
      <c r="CO27" s="10"/>
      <c r="CP27" s="10">
        <v>203</v>
      </c>
      <c r="CQ27" s="10">
        <v>97</v>
      </c>
      <c r="CR27" s="10">
        <v>300</v>
      </c>
      <c r="CS27" s="10">
        <v>15</v>
      </c>
      <c r="CT27" s="10">
        <v>0</v>
      </c>
      <c r="CU27" s="10">
        <v>33</v>
      </c>
      <c r="CV27" s="10">
        <v>1.7</v>
      </c>
      <c r="CW27" s="10"/>
      <c r="CX27" s="10"/>
      <c r="CY27" s="10"/>
      <c r="CZ27" s="10"/>
      <c r="DA27" s="10"/>
      <c r="DB27" s="10"/>
      <c r="DC27" s="10">
        <v>119</v>
      </c>
      <c r="DD27" s="10">
        <v>61</v>
      </c>
      <c r="DE27" s="10">
        <v>180</v>
      </c>
      <c r="DF27" s="10">
        <v>8.1999999999999993</v>
      </c>
      <c r="DG27" s="10">
        <v>0</v>
      </c>
      <c r="DH27" s="10">
        <v>13</v>
      </c>
      <c r="DI27" s="10">
        <v>0.6</v>
      </c>
      <c r="DJ27" s="10"/>
      <c r="DK27" s="10"/>
      <c r="DL27" s="10"/>
      <c r="DM27" s="10"/>
      <c r="DN27" s="10"/>
      <c r="DO27" s="10"/>
      <c r="DP27" s="10">
        <v>94</v>
      </c>
      <c r="DQ27" s="10">
        <v>50</v>
      </c>
      <c r="DR27" s="10">
        <v>144</v>
      </c>
      <c r="DS27" s="10">
        <v>6.9</v>
      </c>
      <c r="DT27" s="10">
        <v>0</v>
      </c>
      <c r="DU27" s="10">
        <v>6</v>
      </c>
      <c r="DV27" s="10">
        <v>0.3</v>
      </c>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5">
        <v>2550</v>
      </c>
      <c r="FD27" s="55">
        <v>1215</v>
      </c>
      <c r="FE27" s="55">
        <v>3765</v>
      </c>
      <c r="FF27" s="55">
        <v>15.5</v>
      </c>
      <c r="FG27" s="55">
        <v>3</v>
      </c>
      <c r="FH27" s="55">
        <v>360</v>
      </c>
      <c r="FI27" s="55">
        <v>1.6</v>
      </c>
      <c r="FJ27" s="55"/>
      <c r="FK27" s="55"/>
      <c r="FL27" s="55"/>
      <c r="FM27" s="55"/>
      <c r="FN27" s="55"/>
      <c r="FO27" s="55"/>
      <c r="FQ27" s="124">
        <v>2429</v>
      </c>
      <c r="FR27" s="124">
        <v>1139</v>
      </c>
      <c r="FS27" s="124">
        <v>3568</v>
      </c>
      <c r="FT27" s="124">
        <v>14.47</v>
      </c>
      <c r="FU27" s="124">
        <v>0</v>
      </c>
      <c r="FV27" s="124">
        <v>351</v>
      </c>
      <c r="FW27" s="124">
        <v>1.45</v>
      </c>
      <c r="FX27" s="124"/>
      <c r="FY27" s="124"/>
      <c r="FZ27" s="124"/>
      <c r="GA27" s="124"/>
      <c r="GB27" s="124"/>
      <c r="GC27" s="124"/>
    </row>
    <row r="28" spans="1:185" x14ac:dyDescent="0.25">
      <c r="A28" s="25">
        <v>27</v>
      </c>
      <c r="B28" s="27" t="s">
        <v>498</v>
      </c>
      <c r="C28" s="10">
        <v>611</v>
      </c>
      <c r="D28" s="10">
        <v>344</v>
      </c>
      <c r="E28" s="10">
        <v>267</v>
      </c>
      <c r="F28" s="10">
        <v>80</v>
      </c>
      <c r="G28" s="10">
        <v>2.6</v>
      </c>
      <c r="H28" s="10">
        <v>40</v>
      </c>
      <c r="I28" s="10">
        <v>1.3</v>
      </c>
      <c r="J28" s="10">
        <v>8</v>
      </c>
      <c r="K28" s="10">
        <v>4</v>
      </c>
      <c r="L28" s="10">
        <v>264</v>
      </c>
      <c r="M28" s="10">
        <v>8.5</v>
      </c>
      <c r="N28" s="10">
        <v>227</v>
      </c>
      <c r="O28" s="10">
        <v>7.3</v>
      </c>
      <c r="P28" s="10">
        <v>682</v>
      </c>
      <c r="Q28" s="10">
        <v>379</v>
      </c>
      <c r="R28" s="10">
        <v>302</v>
      </c>
      <c r="S28" s="10">
        <v>97</v>
      </c>
      <c r="T28" s="16">
        <v>3.1</v>
      </c>
      <c r="U28" s="10">
        <v>65</v>
      </c>
      <c r="V28" s="10">
        <v>2.1</v>
      </c>
      <c r="W28" s="10">
        <v>9</v>
      </c>
      <c r="X28" s="10">
        <v>4</v>
      </c>
      <c r="Y28" s="10">
        <v>282</v>
      </c>
      <c r="Z28" s="10">
        <v>9.1</v>
      </c>
      <c r="AA28" s="10">
        <v>237</v>
      </c>
      <c r="AB28" s="10">
        <v>7.6</v>
      </c>
      <c r="AC28" s="10">
        <v>573</v>
      </c>
      <c r="AD28" s="10">
        <v>333</v>
      </c>
      <c r="AE28" s="10">
        <v>240</v>
      </c>
      <c r="AF28" s="10">
        <v>86</v>
      </c>
      <c r="AG28" s="10">
        <v>2.9</v>
      </c>
      <c r="AH28" s="10">
        <v>33</v>
      </c>
      <c r="AI28" s="10">
        <v>1.1000000000000001</v>
      </c>
      <c r="AJ28" s="10">
        <v>8</v>
      </c>
      <c r="AK28" s="10">
        <v>4</v>
      </c>
      <c r="AL28" s="10">
        <v>247</v>
      </c>
      <c r="AM28" s="10">
        <v>8.1999999999999993</v>
      </c>
      <c r="AN28" s="10">
        <v>207</v>
      </c>
      <c r="AO28" s="10">
        <v>6.9</v>
      </c>
      <c r="AP28" s="10">
        <v>606</v>
      </c>
      <c r="AQ28" s="10">
        <v>378</v>
      </c>
      <c r="AR28" s="10">
        <v>226</v>
      </c>
      <c r="AS28" s="10">
        <v>88</v>
      </c>
      <c r="AT28" s="10">
        <v>2.8</v>
      </c>
      <c r="AU28" s="10">
        <v>49</v>
      </c>
      <c r="AV28" s="10">
        <v>1.6</v>
      </c>
      <c r="AW28" s="10">
        <v>8</v>
      </c>
      <c r="AX28" s="10">
        <v>4</v>
      </c>
      <c r="AY28" s="10">
        <v>290</v>
      </c>
      <c r="AZ28" s="10">
        <v>9.4</v>
      </c>
      <c r="BA28" s="10">
        <v>177</v>
      </c>
      <c r="BB28" s="10">
        <v>5.7</v>
      </c>
      <c r="BC28" s="10">
        <v>571</v>
      </c>
      <c r="BD28" s="10">
        <v>348</v>
      </c>
      <c r="BE28" s="10">
        <v>215</v>
      </c>
      <c r="BF28" s="10">
        <v>81</v>
      </c>
      <c r="BG28" s="10">
        <v>2.7</v>
      </c>
      <c r="BH28" s="10">
        <v>36</v>
      </c>
      <c r="BI28" s="10">
        <v>1.2</v>
      </c>
      <c r="BJ28" s="10">
        <v>6</v>
      </c>
      <c r="BK28" s="10">
        <v>3</v>
      </c>
      <c r="BL28" s="10">
        <v>267</v>
      </c>
      <c r="BM28" s="10">
        <v>9</v>
      </c>
      <c r="BN28" s="10">
        <v>179</v>
      </c>
      <c r="BO28" s="10">
        <v>6</v>
      </c>
      <c r="BP28" s="10">
        <v>606</v>
      </c>
      <c r="BQ28" s="10">
        <v>346</v>
      </c>
      <c r="BR28" s="10">
        <v>242</v>
      </c>
      <c r="BS28" s="10">
        <v>72</v>
      </c>
      <c r="BT28" s="10">
        <v>2.3199999999999998</v>
      </c>
      <c r="BU28" s="10">
        <v>54</v>
      </c>
      <c r="BV28" s="10">
        <v>1.74</v>
      </c>
      <c r="BW28" s="10">
        <v>7</v>
      </c>
      <c r="BX28" s="10">
        <v>3</v>
      </c>
      <c r="BY28" s="10">
        <v>274</v>
      </c>
      <c r="BZ28" s="10">
        <v>8.84</v>
      </c>
      <c r="CA28" s="10">
        <v>188</v>
      </c>
      <c r="CB28" s="10">
        <v>6.06</v>
      </c>
      <c r="CC28" s="10">
        <v>575</v>
      </c>
      <c r="CD28" s="10">
        <v>355</v>
      </c>
      <c r="CE28" s="10">
        <v>226</v>
      </c>
      <c r="CF28" s="10">
        <v>93</v>
      </c>
      <c r="CG28" s="10">
        <v>3</v>
      </c>
      <c r="CH28" s="10">
        <v>58</v>
      </c>
      <c r="CI28" s="10">
        <v>1.87</v>
      </c>
      <c r="CJ28" s="10">
        <v>8</v>
      </c>
      <c r="CK28" s="10">
        <v>4</v>
      </c>
      <c r="CL28" s="10">
        <v>262</v>
      </c>
      <c r="CM28" s="10">
        <v>8.5</v>
      </c>
      <c r="CN28" s="10">
        <v>168</v>
      </c>
      <c r="CO28" s="10">
        <v>5.4</v>
      </c>
      <c r="CP28" s="10">
        <v>594</v>
      </c>
      <c r="CQ28" s="10">
        <v>353</v>
      </c>
      <c r="CR28" s="10">
        <v>221</v>
      </c>
      <c r="CS28" s="10">
        <v>111</v>
      </c>
      <c r="CT28" s="10">
        <v>3.83</v>
      </c>
      <c r="CU28" s="10">
        <v>59</v>
      </c>
      <c r="CV28" s="10">
        <v>2.0299999999999998</v>
      </c>
      <c r="CW28" s="10">
        <v>8</v>
      </c>
      <c r="CX28" s="10">
        <v>4</v>
      </c>
      <c r="CY28" s="10">
        <v>242</v>
      </c>
      <c r="CZ28" s="10">
        <v>8.34</v>
      </c>
      <c r="DA28" s="10">
        <v>162</v>
      </c>
      <c r="DB28" s="10">
        <v>5.59</v>
      </c>
      <c r="DC28" s="10">
        <v>472</v>
      </c>
      <c r="DD28" s="10">
        <v>285</v>
      </c>
      <c r="DE28" s="10">
        <v>173</v>
      </c>
      <c r="DF28" s="10">
        <v>86</v>
      </c>
      <c r="DG28" s="10">
        <v>2.77</v>
      </c>
      <c r="DH28" s="10">
        <v>45</v>
      </c>
      <c r="DI28" s="10">
        <v>1.45</v>
      </c>
      <c r="DJ28" s="10">
        <v>7</v>
      </c>
      <c r="DK28" s="10">
        <v>4</v>
      </c>
      <c r="DL28" s="10">
        <v>199</v>
      </c>
      <c r="DM28" s="10">
        <v>6.42</v>
      </c>
      <c r="DN28" s="10">
        <v>128</v>
      </c>
      <c r="DO28" s="10">
        <v>4.13</v>
      </c>
      <c r="DP28" s="10">
        <v>279</v>
      </c>
      <c r="DQ28" s="10">
        <v>171</v>
      </c>
      <c r="DR28" s="10">
        <v>87</v>
      </c>
      <c r="DS28" s="10">
        <v>97</v>
      </c>
      <c r="DT28" s="10">
        <v>3.23</v>
      </c>
      <c r="DU28" s="10">
        <v>58</v>
      </c>
      <c r="DV28" s="10">
        <v>1.93</v>
      </c>
      <c r="DW28" s="10">
        <v>8</v>
      </c>
      <c r="DX28" s="10">
        <v>5</v>
      </c>
      <c r="DY28" s="10">
        <v>74</v>
      </c>
      <c r="DZ28" s="10">
        <v>2.5</v>
      </c>
      <c r="EA28" s="10">
        <v>29</v>
      </c>
      <c r="EB28" s="10">
        <v>0.96</v>
      </c>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5">
        <v>7250</v>
      </c>
      <c r="FD28" s="55">
        <v>4500</v>
      </c>
      <c r="FE28" s="55">
        <v>3000</v>
      </c>
      <c r="FF28" s="55">
        <v>1150</v>
      </c>
      <c r="FG28" s="55">
        <v>2.8</v>
      </c>
      <c r="FH28" s="55">
        <v>750</v>
      </c>
      <c r="FI28" s="55">
        <v>1.5</v>
      </c>
      <c r="FJ28" s="55">
        <v>6</v>
      </c>
      <c r="FK28" s="55">
        <v>4</v>
      </c>
      <c r="FL28" s="55">
        <v>3000</v>
      </c>
      <c r="FM28" s="55">
        <v>7.5</v>
      </c>
      <c r="FN28" s="55">
        <v>2750</v>
      </c>
      <c r="FO28" s="55">
        <v>6</v>
      </c>
      <c r="FQ28" s="124">
        <v>7535</v>
      </c>
      <c r="FR28" s="124">
        <v>4436</v>
      </c>
      <c r="FS28" s="124">
        <v>3117</v>
      </c>
      <c r="FT28" s="124">
        <v>1216</v>
      </c>
      <c r="FU28" s="124">
        <v>3.33</v>
      </c>
      <c r="FV28" s="124">
        <v>667</v>
      </c>
      <c r="FW28" s="124">
        <v>1.82</v>
      </c>
      <c r="FX28" s="124">
        <v>7.33</v>
      </c>
      <c r="FY28" s="124">
        <v>4.25</v>
      </c>
      <c r="FZ28" s="124">
        <v>3217</v>
      </c>
      <c r="GA28" s="124">
        <v>8.82</v>
      </c>
      <c r="GB28" s="124">
        <v>2450</v>
      </c>
      <c r="GC28" s="124">
        <v>6.71</v>
      </c>
    </row>
    <row r="29" spans="1:185" s="7" customFormat="1" x14ac:dyDescent="0.25">
      <c r="A29" s="26">
        <v>28</v>
      </c>
      <c r="B29" s="27" t="s">
        <v>232</v>
      </c>
      <c r="C29" s="38">
        <v>4495</v>
      </c>
      <c r="D29" s="38">
        <v>11911</v>
      </c>
      <c r="E29" s="38">
        <v>463</v>
      </c>
      <c r="F29" s="38">
        <v>21</v>
      </c>
      <c r="G29" s="38">
        <v>6</v>
      </c>
      <c r="H29" s="38">
        <v>3</v>
      </c>
      <c r="I29" s="38">
        <v>45.28</v>
      </c>
      <c r="J29" s="38">
        <v>36.04</v>
      </c>
      <c r="K29" s="38">
        <v>20.399999999999999</v>
      </c>
      <c r="L29" s="38"/>
      <c r="M29" s="38"/>
      <c r="N29" s="38"/>
      <c r="O29" s="38"/>
      <c r="P29" s="38">
        <v>4415</v>
      </c>
      <c r="Q29" s="38">
        <v>11957</v>
      </c>
      <c r="R29" s="38">
        <v>635</v>
      </c>
      <c r="S29" s="38">
        <v>28.9</v>
      </c>
      <c r="T29" s="50">
        <v>6</v>
      </c>
      <c r="U29" s="38">
        <v>3</v>
      </c>
      <c r="V29" s="38">
        <v>91.9</v>
      </c>
      <c r="W29" s="38">
        <v>76.08</v>
      </c>
      <c r="X29" s="38">
        <v>17.3</v>
      </c>
      <c r="Y29" s="38"/>
      <c r="Z29" s="38"/>
      <c r="AA29" s="38"/>
      <c r="AB29" s="38"/>
      <c r="AC29" s="38">
        <v>4417</v>
      </c>
      <c r="AD29" s="38">
        <v>12006</v>
      </c>
      <c r="AE29" s="38">
        <v>465</v>
      </c>
      <c r="AF29" s="38">
        <v>23.3</v>
      </c>
      <c r="AG29" s="38">
        <v>6</v>
      </c>
      <c r="AH29" s="38">
        <v>3</v>
      </c>
      <c r="AI29" s="38">
        <v>138.9</v>
      </c>
      <c r="AJ29" s="38">
        <v>119.6</v>
      </c>
      <c r="AK29" s="38">
        <v>14</v>
      </c>
      <c r="AL29" s="38"/>
      <c r="AM29" s="38"/>
      <c r="AN29" s="38"/>
      <c r="AO29" s="38"/>
      <c r="AP29" s="38">
        <v>4524</v>
      </c>
      <c r="AQ29" s="38">
        <v>12329</v>
      </c>
      <c r="AR29" s="38">
        <v>619</v>
      </c>
      <c r="AS29" s="38">
        <v>26.9</v>
      </c>
      <c r="AT29" s="38">
        <v>6</v>
      </c>
      <c r="AU29" s="38">
        <v>4</v>
      </c>
      <c r="AV29" s="38">
        <v>184.6</v>
      </c>
      <c r="AW29" s="38">
        <v>159.30000000000001</v>
      </c>
      <c r="AX29" s="38">
        <v>14</v>
      </c>
      <c r="AY29" s="38"/>
      <c r="AZ29" s="38"/>
      <c r="BA29" s="38"/>
      <c r="BB29" s="38"/>
      <c r="BC29" s="38">
        <v>4593</v>
      </c>
      <c r="BD29" s="38">
        <v>12374</v>
      </c>
      <c r="BE29" s="38">
        <v>544</v>
      </c>
      <c r="BF29" s="38">
        <v>30.2</v>
      </c>
      <c r="BG29" s="38">
        <v>6</v>
      </c>
      <c r="BH29" s="38">
        <v>4</v>
      </c>
      <c r="BI29" s="38">
        <v>222</v>
      </c>
      <c r="BJ29" s="38">
        <v>203.8</v>
      </c>
      <c r="BK29" s="38">
        <v>8.1999999999999993</v>
      </c>
      <c r="BL29" s="38"/>
      <c r="BM29" s="38"/>
      <c r="BN29" s="38"/>
      <c r="BO29" s="38"/>
      <c r="BP29" s="38">
        <v>4312</v>
      </c>
      <c r="BQ29" s="38">
        <v>12427</v>
      </c>
      <c r="BR29" s="38">
        <v>373</v>
      </c>
      <c r="BS29" s="38">
        <v>19.600000000000001</v>
      </c>
      <c r="BT29" s="38">
        <v>6</v>
      </c>
      <c r="BU29" s="38">
        <v>4</v>
      </c>
      <c r="BV29" s="38">
        <v>262.07</v>
      </c>
      <c r="BW29" s="38">
        <v>242.9</v>
      </c>
      <c r="BX29" s="38">
        <v>7.3</v>
      </c>
      <c r="BY29" s="38"/>
      <c r="BZ29" s="38"/>
      <c r="CA29" s="38"/>
      <c r="CB29" s="38"/>
      <c r="CC29" s="38">
        <v>4709</v>
      </c>
      <c r="CD29" s="38">
        <v>12475</v>
      </c>
      <c r="CE29" s="38">
        <v>349</v>
      </c>
      <c r="CF29" s="38">
        <v>16.600000000000001</v>
      </c>
      <c r="CG29" s="38">
        <v>5</v>
      </c>
      <c r="CH29" s="38">
        <v>4</v>
      </c>
      <c r="CI29" s="38">
        <v>298.7</v>
      </c>
      <c r="CJ29" s="38">
        <v>285.7</v>
      </c>
      <c r="CK29" s="38">
        <v>4.4000000000000004</v>
      </c>
      <c r="CL29" s="38"/>
      <c r="CM29" s="38"/>
      <c r="CN29" s="38"/>
      <c r="CO29" s="38"/>
      <c r="CP29" s="38">
        <v>5264</v>
      </c>
      <c r="CQ29" s="38">
        <v>12529</v>
      </c>
      <c r="CR29" s="38">
        <v>428</v>
      </c>
      <c r="CS29" s="38">
        <v>21.4</v>
      </c>
      <c r="CT29" s="38">
        <v>6</v>
      </c>
      <c r="CU29" s="38">
        <v>6</v>
      </c>
      <c r="CV29" s="38">
        <v>331.2</v>
      </c>
      <c r="CW29" s="38">
        <v>325.5</v>
      </c>
      <c r="CX29" s="38">
        <v>1.8</v>
      </c>
      <c r="CY29" s="38"/>
      <c r="CZ29" s="38"/>
      <c r="DA29" s="38"/>
      <c r="DB29" s="38"/>
      <c r="DC29" s="38">
        <v>5282</v>
      </c>
      <c r="DD29" s="38">
        <v>12581</v>
      </c>
      <c r="DE29" s="38">
        <v>405</v>
      </c>
      <c r="DF29" s="38">
        <v>18.399999999999999</v>
      </c>
      <c r="DG29" s="38">
        <v>7</v>
      </c>
      <c r="DH29" s="38">
        <v>6</v>
      </c>
      <c r="DI29" s="38">
        <v>370</v>
      </c>
      <c r="DJ29" s="38">
        <v>360</v>
      </c>
      <c r="DK29" s="38">
        <v>2.7</v>
      </c>
      <c r="DL29" s="38"/>
      <c r="DM29" s="38"/>
      <c r="DN29" s="38"/>
      <c r="DO29" s="38"/>
      <c r="DP29" s="38">
        <v>5385</v>
      </c>
      <c r="DQ29" s="38">
        <v>12661</v>
      </c>
      <c r="DR29" s="38">
        <v>359</v>
      </c>
      <c r="DS29" s="38">
        <v>17.100000000000001</v>
      </c>
      <c r="DT29" s="38">
        <v>8</v>
      </c>
      <c r="DU29" s="38">
        <v>7</v>
      </c>
      <c r="DV29" s="38">
        <v>411</v>
      </c>
      <c r="DW29" s="38">
        <v>399</v>
      </c>
      <c r="DX29" s="38">
        <v>2.92</v>
      </c>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5">
        <v>58000</v>
      </c>
      <c r="FD29" s="55">
        <v>12000</v>
      </c>
      <c r="FE29" s="55">
        <v>3150</v>
      </c>
      <c r="FF29" s="55">
        <v>13.1</v>
      </c>
      <c r="FG29" s="55">
        <v>10</v>
      </c>
      <c r="FH29" s="55">
        <v>5</v>
      </c>
      <c r="FI29" s="55">
        <v>1500</v>
      </c>
      <c r="FJ29" s="55">
        <v>1350</v>
      </c>
      <c r="FK29" s="55">
        <v>10</v>
      </c>
      <c r="FL29" s="55"/>
      <c r="FM29" s="55"/>
      <c r="FN29" s="55"/>
      <c r="FO29" s="55"/>
      <c r="FQ29" s="124">
        <v>58771</v>
      </c>
      <c r="FR29" s="124">
        <v>11820</v>
      </c>
      <c r="FS29" s="124">
        <v>3052</v>
      </c>
      <c r="FT29" s="124">
        <v>12.38</v>
      </c>
      <c r="FU29" s="124">
        <v>5.83</v>
      </c>
      <c r="FV29" s="124">
        <v>2.17</v>
      </c>
      <c r="FW29" s="124">
        <v>1498.2</v>
      </c>
      <c r="FX29" s="124">
        <v>1422.7</v>
      </c>
      <c r="FY29" s="124">
        <v>7.68</v>
      </c>
      <c r="FZ29" s="124"/>
      <c r="GA29" s="124"/>
      <c r="GB29" s="124"/>
      <c r="GC29" s="124"/>
    </row>
    <row r="30" spans="1:185" x14ac:dyDescent="0.25">
      <c r="A30" s="25">
        <v>29</v>
      </c>
      <c r="B30" s="28">
        <v>911</v>
      </c>
      <c r="C30" s="10">
        <v>11950</v>
      </c>
      <c r="D30" s="128">
        <v>1.44</v>
      </c>
      <c r="E30" s="10">
        <v>0.46</v>
      </c>
      <c r="F30" s="10">
        <v>2.46</v>
      </c>
      <c r="G30" s="10">
        <v>4.0199999999999996</v>
      </c>
      <c r="H30" s="10">
        <v>98.79</v>
      </c>
      <c r="I30" s="10"/>
      <c r="J30" s="10"/>
      <c r="K30" s="10"/>
      <c r="L30" s="10"/>
      <c r="M30" s="10"/>
      <c r="N30" s="10"/>
      <c r="O30" s="10"/>
      <c r="P30" s="10">
        <v>11729</v>
      </c>
      <c r="Q30" s="10">
        <v>1.45</v>
      </c>
      <c r="R30" s="10">
        <v>0.57999999999999996</v>
      </c>
      <c r="S30" s="10">
        <v>3.07</v>
      </c>
      <c r="T30" s="16">
        <v>3.94</v>
      </c>
      <c r="U30" s="10">
        <v>98.71</v>
      </c>
      <c r="V30" s="10"/>
      <c r="W30" s="10"/>
      <c r="X30" s="10"/>
      <c r="Y30" s="10"/>
      <c r="Z30" s="10"/>
      <c r="AA30" s="10"/>
      <c r="AB30" s="10"/>
      <c r="AC30" s="10">
        <v>11199</v>
      </c>
      <c r="AD30" s="10">
        <v>1.33</v>
      </c>
      <c r="AE30" s="10">
        <v>0.53</v>
      </c>
      <c r="AF30" s="10">
        <v>3.06</v>
      </c>
      <c r="AG30" s="10">
        <v>3.88</v>
      </c>
      <c r="AH30" s="10">
        <v>98.52</v>
      </c>
      <c r="AI30" s="10"/>
      <c r="AJ30" s="10"/>
      <c r="AK30" s="10"/>
      <c r="AL30" s="10"/>
      <c r="AM30" s="10"/>
      <c r="AN30" s="10"/>
      <c r="AO30" s="10"/>
      <c r="AP30" s="10">
        <v>11739</v>
      </c>
      <c r="AQ30" s="10">
        <v>1.53</v>
      </c>
      <c r="AR30" s="10">
        <v>0.49</v>
      </c>
      <c r="AS30" s="10">
        <v>2.4500000000000002</v>
      </c>
      <c r="AT30" s="18">
        <v>3.94</v>
      </c>
      <c r="AU30" s="10">
        <v>99.04</v>
      </c>
      <c r="AV30" s="10"/>
      <c r="AW30" s="10"/>
      <c r="AX30" s="10"/>
      <c r="AY30" s="10"/>
      <c r="AZ30" s="10"/>
      <c r="BA30" s="10"/>
      <c r="BB30" s="10"/>
      <c r="BC30" s="10">
        <v>10743</v>
      </c>
      <c r="BD30" s="10">
        <v>1.38</v>
      </c>
      <c r="BE30" s="10">
        <v>0.47</v>
      </c>
      <c r="BF30" s="10">
        <v>2.54</v>
      </c>
      <c r="BG30" s="10">
        <v>3.73</v>
      </c>
      <c r="BH30" s="10">
        <v>99.02</v>
      </c>
      <c r="BI30" s="10"/>
      <c r="BJ30" s="10"/>
      <c r="BK30" s="10"/>
      <c r="BL30" s="10"/>
      <c r="BM30" s="10"/>
      <c r="BN30" s="10"/>
      <c r="BO30" s="10"/>
      <c r="BP30" s="10">
        <v>10789</v>
      </c>
      <c r="BQ30" s="10">
        <v>1.52</v>
      </c>
      <c r="BR30" s="10">
        <v>0.45</v>
      </c>
      <c r="BS30" s="10">
        <v>2.19</v>
      </c>
      <c r="BT30" s="10">
        <v>3.63</v>
      </c>
      <c r="BU30" s="10">
        <v>98.41</v>
      </c>
      <c r="BV30" s="10"/>
      <c r="BW30" s="10"/>
      <c r="BX30" s="10"/>
      <c r="BY30" s="10"/>
      <c r="BZ30" s="10"/>
      <c r="CA30" s="10"/>
      <c r="CB30" s="10"/>
      <c r="CC30" s="10">
        <v>11282</v>
      </c>
      <c r="CD30" s="10">
        <v>1.46</v>
      </c>
      <c r="CE30" s="10">
        <v>0.52</v>
      </c>
      <c r="CF30" s="10">
        <v>2.27</v>
      </c>
      <c r="CG30" s="10">
        <v>3.8</v>
      </c>
      <c r="CH30" s="10">
        <v>99.09</v>
      </c>
      <c r="CI30" s="10"/>
      <c r="CJ30" s="10"/>
      <c r="CK30" s="10"/>
      <c r="CL30" s="10"/>
      <c r="CM30" s="10"/>
      <c r="CN30" s="10"/>
      <c r="CO30" s="10"/>
      <c r="CP30" s="10">
        <v>10834</v>
      </c>
      <c r="CQ30" s="10">
        <v>1.56</v>
      </c>
      <c r="CR30" s="10">
        <v>1.37</v>
      </c>
      <c r="CS30" s="10">
        <v>2.44</v>
      </c>
      <c r="CT30" s="10">
        <v>3.9</v>
      </c>
      <c r="CU30" s="10">
        <v>98.27</v>
      </c>
      <c r="CV30" s="10"/>
      <c r="CW30" s="10"/>
      <c r="CX30" s="10"/>
      <c r="CY30" s="10"/>
      <c r="CZ30" s="10"/>
      <c r="DA30" s="10"/>
      <c r="DB30" s="10"/>
      <c r="DC30" s="10">
        <v>10633</v>
      </c>
      <c r="DD30" s="10">
        <v>1.5</v>
      </c>
      <c r="DE30" s="10">
        <v>0.56000000000000005</v>
      </c>
      <c r="DF30" s="10">
        <v>2.42</v>
      </c>
      <c r="DG30" s="10">
        <v>3.57</v>
      </c>
      <c r="DH30" s="10">
        <v>99.55</v>
      </c>
      <c r="DI30" s="10"/>
      <c r="DJ30" s="10"/>
      <c r="DK30" s="10"/>
      <c r="DL30" s="10"/>
      <c r="DM30" s="10"/>
      <c r="DN30" s="10"/>
      <c r="DO30" s="10"/>
      <c r="DP30" s="10">
        <v>9278</v>
      </c>
      <c r="DQ30" s="10">
        <v>1.45</v>
      </c>
      <c r="DR30" s="10">
        <v>1.19</v>
      </c>
      <c r="DS30" s="10">
        <v>2.37</v>
      </c>
      <c r="DT30" s="10">
        <v>3.22</v>
      </c>
      <c r="DU30" s="10">
        <v>98.8</v>
      </c>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5">
        <v>135000</v>
      </c>
      <c r="FD30" s="55">
        <v>2.25</v>
      </c>
      <c r="FE30" s="55">
        <v>1</v>
      </c>
      <c r="FF30" s="55">
        <v>2.5</v>
      </c>
      <c r="FG30" s="55">
        <v>4.25</v>
      </c>
      <c r="FH30" s="55">
        <v>97</v>
      </c>
      <c r="FI30" s="55"/>
      <c r="FJ30" s="55"/>
      <c r="FK30" s="55"/>
      <c r="FL30" s="55"/>
      <c r="FM30" s="55"/>
      <c r="FN30" s="55"/>
      <c r="FO30" s="55"/>
      <c r="FQ30" s="124">
        <v>140476</v>
      </c>
      <c r="FR30" s="124">
        <v>2.1</v>
      </c>
      <c r="FS30" s="124">
        <v>0.78</v>
      </c>
      <c r="FT30" s="124">
        <v>2.4300000000000002</v>
      </c>
      <c r="FU30" s="124">
        <v>3.99</v>
      </c>
      <c r="FV30" s="124">
        <v>97.85</v>
      </c>
      <c r="FW30" s="124"/>
      <c r="FX30" s="124"/>
      <c r="FY30" s="124"/>
      <c r="FZ30" s="124"/>
      <c r="GA30" s="124"/>
      <c r="GB30" s="124"/>
      <c r="GC30" s="124"/>
    </row>
    <row r="31" spans="1:185"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85"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327</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A26" workbookViewId="0">
      <selection activeCell="F32" sqref="F32"/>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77" t="s">
        <v>541</v>
      </c>
      <c r="M1" s="77"/>
      <c r="N1" s="77"/>
      <c r="O1" s="77"/>
      <c r="P1" s="77"/>
      <c r="Q1" s="77"/>
      <c r="R1" s="78"/>
    </row>
    <row r="2" spans="1:25" hidden="1" x14ac:dyDescent="0.25">
      <c r="A2" s="9" t="s">
        <v>233</v>
      </c>
      <c r="L2" s="78"/>
      <c r="M2" s="78"/>
    </row>
    <row r="3" spans="1:25" hidden="1" x14ac:dyDescent="0.25">
      <c r="A3" s="9" t="s">
        <v>332</v>
      </c>
      <c r="L3" s="78"/>
      <c r="M3" s="78"/>
    </row>
    <row r="4" spans="1:25" hidden="1" x14ac:dyDescent="0.25">
      <c r="A4" s="9"/>
      <c r="L4" s="78"/>
      <c r="M4" s="78"/>
    </row>
    <row r="5" spans="1:25" hidden="1" x14ac:dyDescent="0.25">
      <c r="A5" s="31">
        <v>1019353</v>
      </c>
      <c r="L5" s="78"/>
      <c r="M5" s="78"/>
    </row>
    <row r="6" spans="1:25" hidden="1" x14ac:dyDescent="0.25">
      <c r="B6" s="11" t="s">
        <v>345</v>
      </c>
      <c r="C6" s="11" t="s">
        <v>335</v>
      </c>
      <c r="D6" s="11" t="s">
        <v>336</v>
      </c>
      <c r="E6" s="11" t="s">
        <v>337</v>
      </c>
      <c r="F6" s="11" t="s">
        <v>338</v>
      </c>
      <c r="G6" s="11" t="s">
        <v>339</v>
      </c>
      <c r="H6" s="11" t="s">
        <v>340</v>
      </c>
      <c r="I6" s="11" t="s">
        <v>341</v>
      </c>
      <c r="J6" s="11" t="s">
        <v>343</v>
      </c>
      <c r="K6" s="11" t="s">
        <v>342</v>
      </c>
      <c r="L6" s="80" t="s">
        <v>344</v>
      </c>
      <c r="M6" s="80" t="s">
        <v>346</v>
      </c>
      <c r="N6" s="11" t="s">
        <v>347</v>
      </c>
      <c r="O6" s="11" t="s">
        <v>348</v>
      </c>
    </row>
    <row r="7" spans="1:25" hidden="1" x14ac:dyDescent="0.25">
      <c r="A7" s="11" t="s">
        <v>333</v>
      </c>
      <c r="L7" s="78"/>
      <c r="M7" s="78"/>
      <c r="N7" s="30">
        <f>SUM(B7:M7)</f>
        <v>0</v>
      </c>
      <c r="O7" s="30" t="e">
        <f>AVERAGE(B7:M7)*12</f>
        <v>#DIV/0!</v>
      </c>
    </row>
    <row r="8" spans="1:25" hidden="1" x14ac:dyDescent="0.25">
      <c r="A8" s="11" t="s">
        <v>334</v>
      </c>
      <c r="L8" s="78"/>
      <c r="M8" s="78"/>
      <c r="N8" s="30">
        <f>SUM(B8:M8)</f>
        <v>0</v>
      </c>
      <c r="O8" s="30" t="e">
        <f>AVERAGE(B8:M8)*12</f>
        <v>#DIV/0!</v>
      </c>
    </row>
    <row r="9" spans="1:25" hidden="1" x14ac:dyDescent="0.25">
      <c r="L9" s="78"/>
      <c r="M9" s="78"/>
    </row>
    <row r="10" spans="1:25" hidden="1" x14ac:dyDescent="0.25">
      <c r="A10" s="11" t="s">
        <v>349</v>
      </c>
      <c r="B10" t="e">
        <f>SUM(1019353/O7)</f>
        <v>#DIV/0!</v>
      </c>
      <c r="L10" s="78"/>
      <c r="M10" s="78"/>
    </row>
    <row r="11" spans="1:25" hidden="1" x14ac:dyDescent="0.25">
      <c r="A11" s="11" t="s">
        <v>334</v>
      </c>
      <c r="B11" t="e">
        <f>SUM(1019353/O8)</f>
        <v>#DIV/0!</v>
      </c>
      <c r="L11" s="78"/>
      <c r="M11" s="78"/>
    </row>
    <row r="12" spans="1:25" hidden="1" x14ac:dyDescent="0.25">
      <c r="L12" s="78"/>
      <c r="M12" s="78"/>
    </row>
    <row r="13" spans="1:25" hidden="1" x14ac:dyDescent="0.25">
      <c r="L13" s="78"/>
      <c r="M13" s="78"/>
    </row>
    <row r="14" spans="1:25" x14ac:dyDescent="0.25">
      <c r="A14" s="58" t="s">
        <v>357</v>
      </c>
      <c r="B14" s="59"/>
      <c r="C14" s="59"/>
      <c r="D14" s="59"/>
      <c r="E14" s="59"/>
      <c r="F14" s="59"/>
      <c r="G14" s="59"/>
      <c r="H14" s="60"/>
      <c r="I14" s="77" t="s">
        <v>229</v>
      </c>
      <c r="J14" s="77"/>
      <c r="K14" s="78"/>
      <c r="L14" s="83">
        <v>380263</v>
      </c>
      <c r="M14" s="78"/>
      <c r="N14" s="78"/>
      <c r="O14" s="78"/>
      <c r="P14" s="78"/>
      <c r="Q14" s="78"/>
      <c r="R14" s="78"/>
      <c r="S14" s="78"/>
      <c r="T14" s="78"/>
      <c r="U14" s="78"/>
      <c r="V14" s="78"/>
      <c r="W14" s="78"/>
      <c r="X14" s="78"/>
      <c r="Y14" s="78"/>
    </row>
    <row r="15" spans="1:25" x14ac:dyDescent="0.25">
      <c r="A15" s="61"/>
      <c r="B15" s="62"/>
      <c r="C15" s="62"/>
      <c r="D15" s="62"/>
      <c r="E15" s="62"/>
      <c r="F15" s="62"/>
      <c r="G15" s="62"/>
      <c r="H15" s="63"/>
      <c r="I15" s="78"/>
      <c r="J15" s="78"/>
      <c r="K15" s="78"/>
      <c r="L15" s="78"/>
      <c r="M15" s="79" t="s">
        <v>87</v>
      </c>
      <c r="N15" s="79" t="s">
        <v>88</v>
      </c>
      <c r="O15" s="79" t="s">
        <v>89</v>
      </c>
      <c r="P15" s="79" t="s">
        <v>15</v>
      </c>
      <c r="Q15" s="79" t="s">
        <v>16</v>
      </c>
      <c r="R15" s="79" t="s">
        <v>17</v>
      </c>
      <c r="S15" s="79" t="s">
        <v>33</v>
      </c>
      <c r="T15" s="79" t="s">
        <v>34</v>
      </c>
      <c r="U15" s="79" t="s">
        <v>35</v>
      </c>
      <c r="V15" s="79" t="s">
        <v>533</v>
      </c>
      <c r="W15" s="79" t="s">
        <v>532</v>
      </c>
      <c r="X15" s="79" t="s">
        <v>38</v>
      </c>
      <c r="Y15" s="79" t="s">
        <v>347</v>
      </c>
    </row>
    <row r="16" spans="1:25" ht="13.8" thickBot="1" x14ac:dyDescent="0.3">
      <c r="A16" s="61" t="s">
        <v>358</v>
      </c>
      <c r="B16" s="62"/>
      <c r="C16" s="64" t="s">
        <v>560</v>
      </c>
      <c r="D16" s="62"/>
      <c r="E16" s="62"/>
      <c r="F16" s="62"/>
      <c r="G16" s="62"/>
      <c r="H16" s="63"/>
      <c r="I16" s="80" t="s">
        <v>540</v>
      </c>
      <c r="J16" s="78"/>
      <c r="K16" s="78"/>
      <c r="L16" s="78"/>
      <c r="M16" s="81">
        <v>79</v>
      </c>
      <c r="N16" s="78">
        <v>84</v>
      </c>
      <c r="O16" s="78">
        <v>81</v>
      </c>
      <c r="P16" s="78">
        <v>102</v>
      </c>
      <c r="Q16" s="78">
        <v>103</v>
      </c>
      <c r="R16" s="78">
        <v>96</v>
      </c>
      <c r="S16" s="78">
        <v>109</v>
      </c>
      <c r="T16" s="78">
        <v>112</v>
      </c>
      <c r="U16" s="78">
        <v>99</v>
      </c>
      <c r="V16" s="78"/>
      <c r="W16" s="78"/>
      <c r="X16" s="78"/>
      <c r="Y16" s="78"/>
    </row>
    <row r="17" spans="1:25" x14ac:dyDescent="0.25">
      <c r="A17" s="65">
        <v>63944</v>
      </c>
      <c r="B17" s="62"/>
      <c r="C17" s="62"/>
      <c r="D17" s="62"/>
      <c r="E17" s="62"/>
      <c r="F17" s="62"/>
      <c r="G17" s="62"/>
      <c r="H17" s="62"/>
      <c r="I17" s="59"/>
      <c r="J17" s="59"/>
      <c r="K17" s="59"/>
      <c r="L17" s="59"/>
      <c r="M17" s="59"/>
      <c r="N17" s="60"/>
    </row>
    <row r="18" spans="1:25" x14ac:dyDescent="0.25">
      <c r="A18" s="66">
        <v>1291840</v>
      </c>
      <c r="B18" s="75" t="s">
        <v>87</v>
      </c>
      <c r="C18" s="75" t="s">
        <v>88</v>
      </c>
      <c r="D18" s="75" t="s">
        <v>89</v>
      </c>
      <c r="E18" s="75" t="s">
        <v>15</v>
      </c>
      <c r="F18" s="75" t="s">
        <v>16</v>
      </c>
      <c r="G18" s="75" t="s">
        <v>17</v>
      </c>
      <c r="H18" s="75" t="s">
        <v>33</v>
      </c>
      <c r="I18" s="75" t="s">
        <v>34</v>
      </c>
      <c r="J18" s="75" t="s">
        <v>35</v>
      </c>
      <c r="K18" s="75" t="s">
        <v>36</v>
      </c>
      <c r="L18" s="75" t="s">
        <v>532</v>
      </c>
      <c r="M18" s="75" t="s">
        <v>38</v>
      </c>
      <c r="N18" s="76" t="s">
        <v>347</v>
      </c>
    </row>
    <row r="19" spans="1:25" x14ac:dyDescent="0.25">
      <c r="A19" s="67" t="s">
        <v>359</v>
      </c>
      <c r="B19" s="71">
        <v>11068</v>
      </c>
      <c r="C19" s="71">
        <v>8996</v>
      </c>
      <c r="D19" s="71">
        <v>8625</v>
      </c>
      <c r="E19" s="71">
        <v>10106</v>
      </c>
      <c r="F19" s="71">
        <v>8325</v>
      </c>
      <c r="G19" s="71">
        <v>6384</v>
      </c>
      <c r="H19" s="71">
        <v>7248</v>
      </c>
      <c r="I19" s="71">
        <v>7360</v>
      </c>
      <c r="J19" s="71"/>
      <c r="K19" s="71"/>
      <c r="L19" s="71"/>
      <c r="M19" s="71"/>
      <c r="N19" s="72">
        <f>AVERAGE(B19:L19)*12</f>
        <v>102168</v>
      </c>
    </row>
    <row r="20" spans="1:25" ht="13.8" thickBot="1" x14ac:dyDescent="0.3">
      <c r="A20" s="67" t="s">
        <v>360</v>
      </c>
      <c r="B20" s="71">
        <v>13602</v>
      </c>
      <c r="C20" s="71">
        <v>11718</v>
      </c>
      <c r="D20" s="71">
        <v>11219</v>
      </c>
      <c r="E20" s="71">
        <v>12913</v>
      </c>
      <c r="F20" s="71">
        <v>10435</v>
      </c>
      <c r="G20" s="71">
        <v>8277</v>
      </c>
      <c r="H20" s="71">
        <v>9739</v>
      </c>
      <c r="I20" s="73">
        <v>9724</v>
      </c>
      <c r="J20" s="73"/>
      <c r="K20" s="73"/>
      <c r="L20" s="73"/>
      <c r="M20" s="73"/>
      <c r="N20" s="74">
        <f>AVERAGE(B20:L20)*12</f>
        <v>131440.5</v>
      </c>
    </row>
    <row r="21" spans="1:25" x14ac:dyDescent="0.25">
      <c r="A21" s="61"/>
      <c r="B21" s="62"/>
      <c r="C21" s="62"/>
      <c r="D21" s="62"/>
      <c r="E21" s="62"/>
      <c r="F21" s="62"/>
      <c r="G21" s="62"/>
      <c r="H21" s="63"/>
      <c r="I21" s="80" t="s">
        <v>535</v>
      </c>
      <c r="J21" s="78"/>
      <c r="K21" s="78"/>
      <c r="L21" s="78"/>
      <c r="M21" s="84">
        <f>SUM(L14/12)</f>
        <v>31688.583333333332</v>
      </c>
      <c r="N21" s="84">
        <f>SUM(L14/12)</f>
        <v>31688.583333333332</v>
      </c>
      <c r="O21" s="84">
        <f>SUM(L14/12)</f>
        <v>31688.583333333332</v>
      </c>
      <c r="P21" s="84">
        <f>SUM(L14/12)</f>
        <v>31688.583333333332</v>
      </c>
      <c r="Q21" s="84">
        <f>SUM(L14/12)</f>
        <v>31688.583333333332</v>
      </c>
      <c r="R21" s="84">
        <f>SUM(L14/12)</f>
        <v>31688.583333333332</v>
      </c>
      <c r="S21" s="84">
        <f>SUM(L14/12)</f>
        <v>31688.583333333332</v>
      </c>
      <c r="T21" s="84">
        <f>SUM(L14/12)</f>
        <v>31688.583333333332</v>
      </c>
      <c r="U21" s="84">
        <f>SUM(L14/12)</f>
        <v>31688.583333333332</v>
      </c>
      <c r="V21" s="84">
        <f>SUM(L14/12)</f>
        <v>31688.583333333332</v>
      </c>
      <c r="W21" s="84">
        <f>SUM(L14/12)</f>
        <v>31688.583333333332</v>
      </c>
      <c r="X21" s="84">
        <f>SUM(L14/12)</f>
        <v>31688.583333333332</v>
      </c>
      <c r="Y21" s="78"/>
    </row>
    <row r="22" spans="1:25" x14ac:dyDescent="0.25">
      <c r="A22" s="61" t="s">
        <v>361</v>
      </c>
      <c r="B22" s="62"/>
      <c r="C22" s="62"/>
      <c r="D22" s="62"/>
      <c r="E22" s="62"/>
      <c r="F22" s="62">
        <f>SUM(N19/A17)</f>
        <v>1.5977730514199926</v>
      </c>
      <c r="G22" s="62"/>
      <c r="H22" s="63"/>
      <c r="I22" s="80" t="s">
        <v>534</v>
      </c>
      <c r="J22" s="78"/>
      <c r="K22" s="78"/>
      <c r="L22" s="78"/>
      <c r="M22" s="78">
        <f>SUM(M21)/(M16*22)</f>
        <v>18.232786728039891</v>
      </c>
      <c r="N22" s="78">
        <f>SUM(N21)/(N16*21)</f>
        <v>17.964049508692366</v>
      </c>
      <c r="O22" s="78">
        <f>SUM(O21)/(O16*20)</f>
        <v>19.56085390946502</v>
      </c>
      <c r="P22" s="78">
        <f>SUM(P21)/(P16*23)</f>
        <v>13.507495026996306</v>
      </c>
      <c r="Q22" s="78">
        <f>SUM(Q21)/(Q16*18)</f>
        <v>17.092008270406328</v>
      </c>
      <c r="R22" s="78">
        <f>SUM(R21)/(R16*19)</f>
        <v>17.373126827485379</v>
      </c>
      <c r="S22" s="78">
        <f>SUM(S21)/(S16*21)</f>
        <v>13.843854667249163</v>
      </c>
      <c r="T22" s="78">
        <f>SUM(T21)/(T16*21)</f>
        <v>13.473037131519273</v>
      </c>
      <c r="U22" s="78">
        <f>SUM(U21)/(U16*22)</f>
        <v>14.549395469850015</v>
      </c>
      <c r="V22" s="78" t="e">
        <f>SUM(V21)/(V16*21)</f>
        <v>#DIV/0!</v>
      </c>
      <c r="W22" s="78"/>
      <c r="X22" s="78"/>
      <c r="Y22" s="78"/>
    </row>
    <row r="23" spans="1:25" x14ac:dyDescent="0.25">
      <c r="A23" s="61" t="s">
        <v>362</v>
      </c>
      <c r="B23" s="62"/>
      <c r="C23" s="62"/>
      <c r="D23" s="62"/>
      <c r="E23" s="62"/>
      <c r="F23" s="62">
        <f>SUM(N20/A17)</f>
        <v>2.0555564243713249</v>
      </c>
      <c r="G23" s="62"/>
      <c r="H23" s="63"/>
    </row>
    <row r="24" spans="1:25" ht="13.8" thickBot="1" x14ac:dyDescent="0.3">
      <c r="A24" s="68" t="s">
        <v>363</v>
      </c>
      <c r="B24" s="69"/>
      <c r="C24" s="69"/>
      <c r="D24" s="69"/>
      <c r="E24" s="69"/>
      <c r="F24" s="69">
        <f>SUM(A18/N20)</f>
        <v>9.8283253639479469</v>
      </c>
      <c r="G24" s="69"/>
      <c r="H24" s="70"/>
      <c r="I24" s="78"/>
      <c r="J24" s="78"/>
      <c r="K24" s="78"/>
      <c r="L24" s="77" t="s">
        <v>542</v>
      </c>
      <c r="M24" s="77"/>
      <c r="N24" s="77"/>
      <c r="O24" s="83">
        <v>43800</v>
      </c>
      <c r="P24" s="78"/>
      <c r="Q24" s="78"/>
      <c r="R24" s="78"/>
      <c r="S24" s="78"/>
      <c r="T24" s="78"/>
      <c r="U24" s="78"/>
      <c r="V24" s="78"/>
      <c r="W24" s="78"/>
      <c r="X24" s="78"/>
      <c r="Y24" s="78"/>
    </row>
    <row r="25" spans="1:25" x14ac:dyDescent="0.25">
      <c r="I25" s="80" t="s">
        <v>539</v>
      </c>
      <c r="J25" s="78"/>
      <c r="K25" s="78"/>
      <c r="L25" s="78"/>
      <c r="M25" s="81">
        <v>26</v>
      </c>
      <c r="N25" s="81">
        <v>25</v>
      </c>
      <c r="O25" s="81">
        <v>33</v>
      </c>
      <c r="P25" s="81">
        <v>32</v>
      </c>
      <c r="Q25" s="81">
        <v>33</v>
      </c>
      <c r="R25" s="81">
        <v>29</v>
      </c>
      <c r="S25" s="81">
        <v>32</v>
      </c>
      <c r="T25" s="81">
        <v>29</v>
      </c>
      <c r="U25" s="81">
        <v>34</v>
      </c>
      <c r="V25" s="81"/>
      <c r="W25" s="81"/>
      <c r="X25" s="81"/>
      <c r="Y25" s="81"/>
    </row>
    <row r="26" spans="1:25" x14ac:dyDescent="0.25">
      <c r="I26" s="82" t="s">
        <v>535</v>
      </c>
      <c r="J26" s="78"/>
      <c r="K26" s="78"/>
      <c r="L26" s="78"/>
      <c r="M26" s="86">
        <f>SUM(O24/12)</f>
        <v>3650</v>
      </c>
      <c r="N26" s="86">
        <f>SUM(O24/12)</f>
        <v>3650</v>
      </c>
      <c r="O26" s="86">
        <f>SUM(O24/12)</f>
        <v>3650</v>
      </c>
      <c r="P26" s="86">
        <f>SUM(O24/12)</f>
        <v>3650</v>
      </c>
      <c r="Q26" s="86">
        <f>SUM(O24/12)</f>
        <v>3650</v>
      </c>
      <c r="R26" s="86">
        <f>SUM(O24/12)</f>
        <v>3650</v>
      </c>
      <c r="S26" s="86">
        <f>SUM(O24/12)</f>
        <v>3650</v>
      </c>
      <c r="T26" s="86">
        <f>SUM(O24/12)</f>
        <v>3650</v>
      </c>
      <c r="U26" s="86">
        <f>SUM(O24/12)</f>
        <v>3650</v>
      </c>
      <c r="V26" s="86">
        <f>SUM(O24/12)</f>
        <v>3650</v>
      </c>
      <c r="W26" s="86">
        <f>SUM(O24/12)</f>
        <v>3650</v>
      </c>
      <c r="X26" s="86">
        <f>SUM(O24/12)</f>
        <v>3650</v>
      </c>
      <c r="Y26" s="86"/>
    </row>
    <row r="27" spans="1:25" x14ac:dyDescent="0.25">
      <c r="I27" s="82" t="s">
        <v>534</v>
      </c>
      <c r="J27" s="78"/>
      <c r="K27" s="78"/>
      <c r="L27" s="78"/>
      <c r="M27" s="129">
        <f>SUM(M26)/(M25*22)</f>
        <v>6.3811188811188808</v>
      </c>
      <c r="N27" s="129">
        <f>SUM(N26)/(N25*22)</f>
        <v>6.6363636363636367</v>
      </c>
      <c r="O27" s="129">
        <f>SUM(O26)/(O25*20)</f>
        <v>5.5303030303030303</v>
      </c>
      <c r="P27" s="85">
        <f>SUM(P26)/(P25*23)</f>
        <v>4.9592391304347823</v>
      </c>
      <c r="Q27" s="85">
        <f>SUM(Q26)/(Q25*18)</f>
        <v>6.1447811447811445</v>
      </c>
      <c r="R27" s="85">
        <f>SUM(R26)/(R25*19)</f>
        <v>6.6243194192377493</v>
      </c>
      <c r="S27" s="85">
        <f>SUM(S26)/(S25*21)</f>
        <v>5.4315476190476186</v>
      </c>
      <c r="T27" s="85">
        <f>SUM(T26)/(T25*21)</f>
        <v>5.9934318555008206</v>
      </c>
      <c r="U27" s="85">
        <f>SUM(U26)/(U25*22)</f>
        <v>4.8796791443850269</v>
      </c>
      <c r="V27" s="85" t="e">
        <f>SUM(V26)/(V25*21)</f>
        <v>#DIV/0!</v>
      </c>
      <c r="W27" s="81"/>
      <c r="X27" s="81"/>
      <c r="Y27" s="81"/>
    </row>
    <row r="29" spans="1:25" x14ac:dyDescent="0.25">
      <c r="A29" t="s">
        <v>377</v>
      </c>
      <c r="B29" t="s">
        <v>379</v>
      </c>
      <c r="C29" t="s">
        <v>34</v>
      </c>
      <c r="D29" t="s">
        <v>35</v>
      </c>
      <c r="E29" t="s">
        <v>36</v>
      </c>
      <c r="F29" t="s">
        <v>37</v>
      </c>
      <c r="G29" t="s">
        <v>38</v>
      </c>
      <c r="H29" t="s">
        <v>87</v>
      </c>
      <c r="I29" t="s">
        <v>88</v>
      </c>
      <c r="J29" t="s">
        <v>89</v>
      </c>
      <c r="K29" t="s">
        <v>15</v>
      </c>
      <c r="L29" t="s">
        <v>16</v>
      </c>
      <c r="M29" t="s">
        <v>17</v>
      </c>
      <c r="N29" t="s">
        <v>381</v>
      </c>
    </row>
    <row r="30" spans="1:25" x14ac:dyDescent="0.25">
      <c r="A30" t="s">
        <v>378</v>
      </c>
      <c r="B30">
        <v>22</v>
      </c>
      <c r="C30">
        <v>20</v>
      </c>
      <c r="D30">
        <v>23</v>
      </c>
      <c r="E30">
        <v>32</v>
      </c>
      <c r="H30">
        <v>24</v>
      </c>
      <c r="I30">
        <v>22</v>
      </c>
      <c r="J30">
        <v>13</v>
      </c>
      <c r="K30">
        <v>21</v>
      </c>
      <c r="L30">
        <v>16</v>
      </c>
      <c r="M30">
        <v>28</v>
      </c>
      <c r="N30">
        <f t="shared" ref="N30" si="0">SUM(B30:M30)</f>
        <v>221</v>
      </c>
    </row>
    <row r="31" spans="1:25" x14ac:dyDescent="0.25">
      <c r="O31" s="32">
        <f>SUM(N32/N30)</f>
        <v>0.24434389140271492</v>
      </c>
    </row>
    <row r="32" spans="1:25" x14ac:dyDescent="0.25">
      <c r="A32" t="s">
        <v>380</v>
      </c>
      <c r="B32" s="7">
        <v>7</v>
      </c>
      <c r="C32">
        <v>3</v>
      </c>
      <c r="D32">
        <v>9</v>
      </c>
      <c r="E32">
        <v>10</v>
      </c>
      <c r="H32">
        <v>8</v>
      </c>
      <c r="I32">
        <v>3</v>
      </c>
      <c r="J32">
        <v>1</v>
      </c>
      <c r="K32">
        <v>3</v>
      </c>
      <c r="L32">
        <v>6</v>
      </c>
      <c r="M32">
        <v>4</v>
      </c>
      <c r="N32">
        <f>SUM(B32:M32)</f>
        <v>54</v>
      </c>
      <c r="T32">
        <v>5</v>
      </c>
    </row>
    <row r="34" spans="1:16" x14ac:dyDescent="0.25">
      <c r="P34" t="s">
        <v>493</v>
      </c>
    </row>
    <row r="35" spans="1:16" x14ac:dyDescent="0.25">
      <c r="A35" s="11" t="s">
        <v>399</v>
      </c>
      <c r="B35" t="s">
        <v>379</v>
      </c>
      <c r="C35" t="s">
        <v>34</v>
      </c>
      <c r="D35" t="s">
        <v>35</v>
      </c>
      <c r="E35" t="s">
        <v>36</v>
      </c>
      <c r="F35" t="s">
        <v>37</v>
      </c>
      <c r="G35" t="s">
        <v>38</v>
      </c>
      <c r="H35" t="s">
        <v>87</v>
      </c>
      <c r="I35" t="s">
        <v>88</v>
      </c>
      <c r="J35" t="s">
        <v>89</v>
      </c>
      <c r="K35" t="s">
        <v>15</v>
      </c>
      <c r="L35" t="s">
        <v>16</v>
      </c>
      <c r="M35" t="s">
        <v>17</v>
      </c>
      <c r="N35" t="s">
        <v>381</v>
      </c>
    </row>
    <row r="36" spans="1:16" x14ac:dyDescent="0.25">
      <c r="A36" s="11" t="s">
        <v>445</v>
      </c>
      <c r="N36">
        <f>SUM(B36:M36)</f>
        <v>0</v>
      </c>
    </row>
    <row r="37" spans="1:16" x14ac:dyDescent="0.25">
      <c r="O37" s="32" t="e">
        <f>SUM(N38/N36)</f>
        <v>#DIV/0!</v>
      </c>
    </row>
    <row r="38" spans="1:16" x14ac:dyDescent="0.25">
      <c r="A38" s="11" t="s">
        <v>400</v>
      </c>
      <c r="N38">
        <f>SUM(B38:M38)</f>
        <v>0</v>
      </c>
    </row>
    <row r="40" spans="1:16" x14ac:dyDescent="0.25">
      <c r="A40" t="s">
        <v>387</v>
      </c>
      <c r="B40" t="s">
        <v>388</v>
      </c>
    </row>
    <row r="41" spans="1:16" x14ac:dyDescent="0.25">
      <c r="B41" t="s">
        <v>389</v>
      </c>
    </row>
    <row r="43" spans="1:16" x14ac:dyDescent="0.25">
      <c r="B43" t="s">
        <v>379</v>
      </c>
      <c r="C43" t="s">
        <v>34</v>
      </c>
      <c r="D43" t="s">
        <v>35</v>
      </c>
      <c r="E43" t="s">
        <v>36</v>
      </c>
      <c r="F43" t="s">
        <v>37</v>
      </c>
      <c r="G43" t="s">
        <v>38</v>
      </c>
      <c r="H43" t="s">
        <v>87</v>
      </c>
      <c r="I43" t="s">
        <v>88</v>
      </c>
      <c r="J43" t="s">
        <v>89</v>
      </c>
      <c r="K43" t="s">
        <v>15</v>
      </c>
      <c r="L43" t="s">
        <v>16</v>
      </c>
      <c r="M43" t="s">
        <v>17</v>
      </c>
      <c r="N43" t="s">
        <v>381</v>
      </c>
    </row>
    <row r="44" spans="1:16" x14ac:dyDescent="0.25">
      <c r="A44" s="41" t="s">
        <v>438</v>
      </c>
    </row>
    <row r="45" spans="1:16" x14ac:dyDescent="0.25">
      <c r="A45" t="s">
        <v>439</v>
      </c>
      <c r="B45" s="10">
        <v>3</v>
      </c>
      <c r="C45" s="10">
        <v>4</v>
      </c>
      <c r="D45" s="10">
        <v>3</v>
      </c>
      <c r="E45" s="10">
        <v>0</v>
      </c>
      <c r="F45" s="10"/>
      <c r="G45" s="10"/>
      <c r="H45" s="10">
        <v>2</v>
      </c>
      <c r="I45" s="10">
        <v>3</v>
      </c>
      <c r="J45" s="10">
        <v>2</v>
      </c>
      <c r="K45" s="10">
        <v>1</v>
      </c>
      <c r="L45" s="10">
        <v>4</v>
      </c>
      <c r="M45" s="10">
        <v>2</v>
      </c>
      <c r="N45" s="10">
        <f>SUM(B45:M45)</f>
        <v>24</v>
      </c>
      <c r="O45" s="42">
        <f>SUM(N46*12)/440</f>
        <v>6.5454545454545446E-2</v>
      </c>
      <c r="P45" t="s">
        <v>440</v>
      </c>
    </row>
    <row r="46" spans="1:16" x14ac:dyDescent="0.25">
      <c r="B46" s="10"/>
      <c r="C46" s="10"/>
      <c r="D46" s="10"/>
      <c r="E46" s="10"/>
      <c r="F46" s="10"/>
      <c r="G46" s="10"/>
      <c r="H46" s="10"/>
      <c r="I46" s="10"/>
      <c r="J46" s="10"/>
      <c r="K46" s="10"/>
      <c r="L46" s="10"/>
      <c r="M46" t="s">
        <v>441</v>
      </c>
      <c r="N46" s="10">
        <f>AVERAGE(B45:M45)</f>
        <v>2.4</v>
      </c>
      <c r="O46" s="42"/>
    </row>
    <row r="47" spans="1:16" x14ac:dyDescent="0.25">
      <c r="A47" s="11" t="s">
        <v>518</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443</v>
      </c>
      <c r="B49" s="10">
        <v>4</v>
      </c>
      <c r="C49" s="10">
        <v>6</v>
      </c>
      <c r="D49" s="10">
        <v>6</v>
      </c>
      <c r="E49" s="10">
        <v>0</v>
      </c>
      <c r="F49" s="10"/>
      <c r="G49" s="10"/>
      <c r="H49" s="10">
        <v>4</v>
      </c>
      <c r="I49" s="10">
        <v>4</v>
      </c>
      <c r="J49" s="10">
        <v>3</v>
      </c>
      <c r="K49" s="10">
        <v>2</v>
      </c>
      <c r="L49" s="10">
        <v>6</v>
      </c>
      <c r="M49" s="10">
        <v>3</v>
      </c>
      <c r="N49" s="10">
        <f>SUM(B49:M49)</f>
        <v>38</v>
      </c>
      <c r="O49" s="42"/>
    </row>
    <row r="50" spans="1:16" x14ac:dyDescent="0.25">
      <c r="M50" t="s">
        <v>441</v>
      </c>
      <c r="N50" s="10">
        <f>AVERAGE(B49:M49)</f>
        <v>3.8</v>
      </c>
      <c r="O50" s="42">
        <f>SUM(N50*12)/440</f>
        <v>0.10363636363636362</v>
      </c>
      <c r="P50" t="s">
        <v>444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464</v>
      </c>
      <c r="B1" s="25"/>
      <c r="C1" s="25"/>
      <c r="D1" s="25"/>
      <c r="E1" s="25"/>
      <c r="F1" s="25"/>
      <c r="G1" s="25"/>
      <c r="H1" s="25"/>
      <c r="I1" s="25" t="s">
        <v>463</v>
      </c>
      <c r="J1" s="25"/>
      <c r="K1" s="25"/>
      <c r="L1" s="25"/>
      <c r="M1" s="25"/>
      <c r="N1" s="25"/>
      <c r="O1" s="25"/>
    </row>
    <row r="2" spans="1:28" x14ac:dyDescent="0.25">
      <c r="A2" s="43" t="s">
        <v>450</v>
      </c>
      <c r="B2" s="43">
        <v>1</v>
      </c>
      <c r="C2" s="43">
        <v>2</v>
      </c>
      <c r="D2" s="43">
        <v>3</v>
      </c>
      <c r="E2" s="43">
        <v>4</v>
      </c>
      <c r="F2" s="43">
        <v>5</v>
      </c>
      <c r="G2" s="43">
        <v>6</v>
      </c>
      <c r="H2" s="43">
        <v>7</v>
      </c>
      <c r="I2" s="43">
        <v>8</v>
      </c>
      <c r="J2" s="43">
        <v>9</v>
      </c>
      <c r="K2" s="43">
        <v>10</v>
      </c>
      <c r="L2" s="43">
        <v>11</v>
      </c>
      <c r="M2" s="43">
        <v>12</v>
      </c>
      <c r="N2" s="43">
        <v>13</v>
      </c>
      <c r="O2" s="25"/>
    </row>
    <row r="3" spans="1:28" x14ac:dyDescent="0.25">
      <c r="A3" s="25" t="s">
        <v>448</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451</v>
      </c>
      <c r="B6" s="25">
        <v>38674</v>
      </c>
      <c r="C6" s="25">
        <v>31798</v>
      </c>
      <c r="D6" s="25">
        <v>1270</v>
      </c>
      <c r="E6" s="25">
        <v>1538</v>
      </c>
      <c r="F6" s="25">
        <v>17.5</v>
      </c>
      <c r="G6" s="25">
        <v>48.4</v>
      </c>
      <c r="H6" s="25">
        <v>5</v>
      </c>
      <c r="I6" s="25">
        <v>182</v>
      </c>
      <c r="J6" s="25"/>
      <c r="K6" s="25"/>
      <c r="L6" s="25"/>
      <c r="M6" s="25"/>
      <c r="N6" s="25"/>
      <c r="O6" s="25"/>
    </row>
    <row r="7" spans="1:28" x14ac:dyDescent="0.25">
      <c r="A7" s="25" t="s">
        <v>422</v>
      </c>
      <c r="B7" s="25">
        <v>11412</v>
      </c>
      <c r="C7" s="25">
        <v>3.07</v>
      </c>
      <c r="D7" s="25">
        <v>1731</v>
      </c>
      <c r="E7" s="25">
        <v>0.46</v>
      </c>
      <c r="F7" s="25">
        <v>133</v>
      </c>
      <c r="G7" s="25"/>
      <c r="H7" s="25"/>
      <c r="I7" s="25"/>
      <c r="J7" s="25"/>
      <c r="K7" s="25"/>
      <c r="L7" s="25"/>
      <c r="M7" s="25"/>
      <c r="N7" s="25"/>
      <c r="O7" s="25"/>
    </row>
    <row r="8" spans="1:28" x14ac:dyDescent="0.25">
      <c r="A8" s="25" t="s">
        <v>452</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453</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454</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455</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428</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456</v>
      </c>
      <c r="B19" s="25">
        <v>15</v>
      </c>
      <c r="C19" s="25">
        <v>11</v>
      </c>
      <c r="D19" s="25">
        <v>11</v>
      </c>
      <c r="E19" s="25">
        <v>1</v>
      </c>
      <c r="F19" s="25">
        <v>7.1</v>
      </c>
      <c r="G19" s="25">
        <v>0</v>
      </c>
      <c r="H19" s="25">
        <v>745</v>
      </c>
      <c r="I19" s="25"/>
      <c r="J19" s="25"/>
      <c r="K19" s="25"/>
      <c r="L19" s="25"/>
      <c r="M19" s="25"/>
      <c r="N19" s="25"/>
      <c r="O19" s="25"/>
    </row>
    <row r="20" spans="1:15" x14ac:dyDescent="0.25">
      <c r="A20" s="25" t="s">
        <v>457</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458</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465</v>
      </c>
      <c r="B34" s="25"/>
      <c r="C34" s="25"/>
      <c r="D34" s="25"/>
      <c r="E34" s="25"/>
      <c r="F34" s="25"/>
      <c r="G34" s="25"/>
      <c r="H34" s="25"/>
      <c r="I34" s="25" t="s">
        <v>449</v>
      </c>
      <c r="J34" s="25"/>
      <c r="K34" s="25"/>
      <c r="L34" s="25"/>
      <c r="M34" s="25"/>
      <c r="N34" s="25"/>
      <c r="O34" s="25"/>
    </row>
    <row r="35" spans="1:15" x14ac:dyDescent="0.25">
      <c r="A35" s="43" t="s">
        <v>450</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448</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451</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422</v>
      </c>
      <c r="B40" s="25">
        <v>11756</v>
      </c>
      <c r="C40" s="25">
        <v>3.1</v>
      </c>
      <c r="D40" s="25">
        <v>2065</v>
      </c>
      <c r="E40" s="25">
        <v>0.55000000000000004</v>
      </c>
      <c r="F40" s="25">
        <v>59</v>
      </c>
      <c r="G40" s="25"/>
      <c r="H40" s="25"/>
      <c r="I40" s="25"/>
      <c r="J40" s="25"/>
      <c r="K40" s="25"/>
      <c r="L40" s="25"/>
      <c r="M40" s="25"/>
      <c r="N40" s="25"/>
      <c r="O40" s="25"/>
    </row>
    <row r="41" spans="1:15" x14ac:dyDescent="0.25">
      <c r="A41" s="25" t="s">
        <v>452</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453</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454</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455</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428</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456</v>
      </c>
      <c r="B52" s="25">
        <v>23</v>
      </c>
      <c r="C52" s="25">
        <v>21</v>
      </c>
      <c r="D52" s="25">
        <v>19</v>
      </c>
      <c r="E52" s="25">
        <v>17</v>
      </c>
      <c r="F52" s="25">
        <v>0</v>
      </c>
      <c r="G52" s="25">
        <v>0</v>
      </c>
      <c r="H52" s="25">
        <v>0</v>
      </c>
      <c r="I52" s="25">
        <v>1945</v>
      </c>
      <c r="J52" s="25"/>
      <c r="K52" s="25"/>
      <c r="L52" s="25"/>
      <c r="M52" s="25"/>
      <c r="N52" s="25"/>
      <c r="O52" s="25"/>
    </row>
    <row r="53" spans="1:15" x14ac:dyDescent="0.25">
      <c r="A53" s="25" t="s">
        <v>457</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458</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471</v>
      </c>
      <c r="B67" s="25"/>
      <c r="C67" s="25"/>
      <c r="D67" s="25"/>
      <c r="E67" s="25"/>
      <c r="F67" s="25"/>
      <c r="G67" s="25"/>
      <c r="H67" s="25"/>
      <c r="I67" s="25" t="s">
        <v>470</v>
      </c>
      <c r="J67" s="25"/>
      <c r="K67" s="25"/>
      <c r="L67" s="25"/>
      <c r="M67" s="25"/>
      <c r="N67" s="25"/>
      <c r="O67" s="25"/>
    </row>
    <row r="68" spans="1:15" x14ac:dyDescent="0.25">
      <c r="A68" s="43" t="s">
        <v>450</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448</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451</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422</v>
      </c>
      <c r="B73" s="25">
        <v>12252</v>
      </c>
      <c r="C73" s="25">
        <v>3.3</v>
      </c>
      <c r="D73" s="25">
        <v>2297</v>
      </c>
      <c r="E73" s="25">
        <v>0.62</v>
      </c>
      <c r="F73" s="25">
        <v>47.5</v>
      </c>
      <c r="G73" s="25"/>
      <c r="H73" s="25"/>
      <c r="I73" s="25"/>
      <c r="J73" s="25"/>
      <c r="K73" s="25"/>
      <c r="L73" s="25"/>
      <c r="M73" s="25"/>
      <c r="N73" s="25"/>
      <c r="O73" s="25"/>
    </row>
    <row r="74" spans="1:15" x14ac:dyDescent="0.25">
      <c r="A74" s="25" t="s">
        <v>452</v>
      </c>
      <c r="B74" s="25"/>
      <c r="C74" s="25"/>
      <c r="D74" s="25"/>
      <c r="E74" s="25"/>
      <c r="F74" s="25"/>
      <c r="G74" s="25"/>
      <c r="H74" s="25"/>
      <c r="I74" s="25"/>
      <c r="J74" s="25"/>
      <c r="K74" s="25"/>
      <c r="L74" s="25"/>
      <c r="M74" s="25"/>
      <c r="N74" s="25"/>
      <c r="O74" s="25"/>
    </row>
    <row r="75" spans="1:15" x14ac:dyDescent="0.25">
      <c r="A75" s="25" t="s">
        <v>453</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454</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455</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428</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456</v>
      </c>
      <c r="B85" s="25">
        <v>14</v>
      </c>
      <c r="C85" s="25">
        <v>14</v>
      </c>
      <c r="D85" s="25">
        <v>15</v>
      </c>
      <c r="E85" s="25">
        <v>14</v>
      </c>
      <c r="F85" s="25">
        <v>0</v>
      </c>
      <c r="G85" s="25">
        <v>0</v>
      </c>
      <c r="H85" s="25">
        <v>1240</v>
      </c>
      <c r="I85" s="25">
        <v>3.3</v>
      </c>
      <c r="J85" s="25">
        <v>3.3</v>
      </c>
      <c r="K85" s="25"/>
      <c r="L85" s="25"/>
      <c r="M85" s="25"/>
      <c r="N85" s="25"/>
      <c r="O85" s="25"/>
    </row>
    <row r="86" spans="1:15" x14ac:dyDescent="0.25">
      <c r="A86" s="25" t="s">
        <v>457</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458</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489</v>
      </c>
      <c r="B101" s="25"/>
      <c r="C101" s="25"/>
      <c r="D101" s="25"/>
      <c r="E101" s="25"/>
      <c r="F101" s="25"/>
      <c r="G101" s="25"/>
      <c r="H101" s="25"/>
      <c r="I101" s="25" t="s">
        <v>488</v>
      </c>
      <c r="J101" s="25"/>
      <c r="K101" s="25"/>
      <c r="L101" s="25"/>
      <c r="M101" s="25"/>
      <c r="N101" s="25"/>
      <c r="O101" s="25"/>
    </row>
    <row r="102" spans="1:15" x14ac:dyDescent="0.25">
      <c r="A102" s="43" t="s">
        <v>450</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448</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451</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422</v>
      </c>
      <c r="B107" s="25">
        <v>11609</v>
      </c>
      <c r="C107" s="25">
        <v>3.15</v>
      </c>
      <c r="D107" s="25">
        <v>2504</v>
      </c>
      <c r="E107" s="25">
        <v>0.68</v>
      </c>
      <c r="F107" s="25">
        <v>32.1</v>
      </c>
      <c r="G107" s="25"/>
      <c r="H107" s="25"/>
      <c r="I107" s="25"/>
      <c r="J107" s="25"/>
      <c r="K107" s="25"/>
      <c r="L107" s="25"/>
      <c r="M107" s="25"/>
      <c r="N107" s="25"/>
      <c r="O107" s="25"/>
    </row>
    <row r="108" spans="1:15" x14ac:dyDescent="0.25">
      <c r="A108" s="25" t="s">
        <v>452</v>
      </c>
      <c r="B108" s="25"/>
      <c r="C108" s="25"/>
      <c r="D108" s="25"/>
      <c r="E108" s="25"/>
      <c r="F108" s="25"/>
      <c r="G108" s="25"/>
      <c r="H108" s="25"/>
      <c r="I108" s="25"/>
      <c r="J108" s="25"/>
      <c r="K108" s="25"/>
      <c r="L108" s="25"/>
      <c r="M108" s="25"/>
      <c r="N108" s="25"/>
      <c r="O108" s="25"/>
    </row>
    <row r="109" spans="1:15" x14ac:dyDescent="0.25">
      <c r="A109" s="25" t="s">
        <v>453</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454</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455</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428</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456</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457</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458</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490</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B002A8D-890E-43A8-BD6D-0CE9268F95A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3.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Performance Data</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2019-07-17T12:26:53Z</cp:lastPrinted>
  <dcterms:created xsi:type="dcterms:W3CDTF">2006-08-14T17:37:49Z</dcterms:created>
  <dcterms:modified xsi:type="dcterms:W3CDTF">2020-05-18T20:29:37Z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