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128" windowWidth="11352" windowHeight="736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X26" i="4" l="1"/>
  <c r="W26" i="4"/>
  <c r="V26" i="4"/>
  <c r="U26" i="4"/>
  <c r="T26" i="4"/>
  <c r="S26" i="4"/>
  <c r="R26" i="4"/>
  <c r="Q26" i="4"/>
  <c r="P26" i="4"/>
  <c r="O26" i="4"/>
  <c r="N26" i="4"/>
  <c r="M26" i="4"/>
  <c r="X21" i="4"/>
  <c r="W21" i="4"/>
  <c r="V21" i="4"/>
  <c r="U21" i="4"/>
  <c r="T21" i="4"/>
  <c r="S21" i="4"/>
  <c r="R24" i="1" l="1"/>
  <c r="R23" i="1"/>
  <c r="R22" i="1"/>
  <c r="R21" i="1"/>
  <c r="R20" i="1"/>
  <c r="R19" i="1"/>
  <c r="R18" i="1"/>
  <c r="R17" i="1"/>
  <c r="R16" i="1"/>
  <c r="R15" i="1"/>
  <c r="R12" i="1"/>
  <c r="R14" i="1"/>
  <c r="R13" i="1"/>
  <c r="P12" i="1"/>
  <c r="V27" i="4" l="1"/>
  <c r="V22" i="4"/>
  <c r="U27" i="4" l="1"/>
  <c r="T22" i="4"/>
  <c r="U22" i="4"/>
  <c r="O16" i="1"/>
  <c r="T27" i="4" l="1"/>
  <c r="S22" i="4" l="1"/>
  <c r="S27" i="4"/>
  <c r="R27" i="4" l="1"/>
  <c r="R21" i="4"/>
  <c r="R22" i="4" s="1"/>
  <c r="Q21" i="4"/>
  <c r="Q22" i="4" s="1"/>
  <c r="P21" i="4"/>
  <c r="O21" i="4"/>
  <c r="N21" i="4"/>
  <c r="M21" i="4"/>
  <c r="P22" i="4" l="1"/>
  <c r="Q27" i="4" l="1"/>
  <c r="P27" i="4"/>
  <c r="O22" i="4" l="1"/>
  <c r="N22" i="4" l="1"/>
  <c r="M22" i="4" l="1"/>
  <c r="N20" i="4"/>
  <c r="N19" i="4"/>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N30" i="4"/>
  <c r="N32" i="4"/>
  <c r="F23" i="4"/>
  <c r="F22" i="4"/>
  <c r="O8" i="4"/>
  <c r="B11" i="4" s="1"/>
  <c r="O7" i="4"/>
  <c r="B10" i="4" s="1"/>
  <c r="N7" i="4"/>
  <c r="N8" i="4"/>
  <c r="O24" i="1"/>
  <c r="O21" i="1"/>
  <c r="O20" i="1"/>
  <c r="O19" i="1"/>
  <c r="O18" i="1"/>
  <c r="O17"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S21" i="1" l="1"/>
  <c r="S19" i="1"/>
  <c r="S20" i="1"/>
  <c r="S18" i="1"/>
  <c r="S24" i="1" s="1"/>
  <c r="S16" i="1"/>
  <c r="S14" i="1"/>
  <c r="S22" i="1"/>
  <c r="S17" i="1"/>
  <c r="S15" i="1"/>
  <c r="S23" i="1"/>
  <c r="S13" i="1"/>
  <c r="Q14" i="1"/>
  <c r="Q18" i="1"/>
  <c r="Q17" i="1"/>
  <c r="Q20" i="1"/>
  <c r="Q22" i="1"/>
  <c r="Q24" i="1"/>
  <c r="Q12" i="1"/>
  <c r="S12" i="1"/>
  <c r="Q13" i="1"/>
  <c r="Q15" i="1"/>
  <c r="Q16" i="1"/>
  <c r="Q19" i="1"/>
  <c r="Q21" i="1"/>
  <c r="Q23" i="1"/>
  <c r="O37" i="4"/>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S6" author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<sst xmlns="http://schemas.openxmlformats.org/spreadsheetml/2006/main" count="780" uniqueCount="563">
  <si>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</si>
  <si>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</si>
  <si>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</si>
  <si>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</si>
  <si>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</si>
  <si>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</si>
  <si>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</si>
  <si>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</si>
  <si>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</si>
  <si>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</si>
  <si>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</si>
  <si>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</si>
  <si>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</si>
  <si>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</si>
  <si>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</si>
  <si>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</si>
  <si>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</si>
  <si>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</si>
  <si>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</si>
  <si>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</si>
  <si>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</si>
  <si>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</si>
  <si>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</si>
  <si>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</si>
  <si>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</si>
  <si>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</si>
  <si>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</si>
  <si>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</si>
  <si>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</si>
  <si>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</si>
  <si>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</si>
  <si>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</si>
  <si>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</si>
  <si>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</si>
  <si>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</si>
  <si>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</si>
  <si>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</si>
  <si>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</si>
  <si>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</si>
  <si>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</si>
  <si>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</si>
  <si>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</si>
  <si>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</si>
  <si>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</si>
  <si>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</si>
  <si>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</si>
  <si>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</si>
  <si>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</si>
  <si>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</si>
  <si>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</si>
  <si>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</si>
  <si>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</si>
  <si>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</si>
  <si>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</si>
  <si>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</si>
  <si>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</si>
  <si>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</si>
  <si>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</si>
  <si>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</si>
  <si>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</si>
  <si>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</si>
  <si>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</si>
  <si>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</si>
  <si>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</si>
  <si>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</si>
  <si>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</si>
  <si>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</si>
  <si>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</si>
  <si>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</si>
  <si>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</si>
  <si>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</si>
  <si>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</si>
  <si>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</si>
  <si>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</si>
  <si>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</si>
  <si>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</si>
  <si>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</si>
  <si>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</si>
  <si>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</si>
  <si>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</si>
  <si>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</si>
  <si>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</si>
  <si>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</si>
  <si>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</si>
  <si>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</si>
  <si>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</si>
  <si>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</si>
  <si>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</si>
  <si>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</si>
  <si>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</si>
  <si>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</si>
  <si>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</si>
  <si>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</si>
  <si>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</si>
  <si>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</si>
  <si>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</si>
  <si>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</si>
  <si>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</si>
  <si>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</si>
  <si>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</si>
  <si>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</si>
  <si>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</si>
  <si>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</si>
  <si>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</si>
  <si>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</si>
  <si>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</si>
  <si>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</si>
  <si>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</si>
  <si>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</si>
  <si>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</si>
  <si>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</si>
  <si>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</si>
  <si>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</si>
  <si>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</si>
  <si>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</si>
  <si>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</si>
  <si>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</si>
  <si>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</si>
  <si>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</si>
  <si>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</si>
  <si>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</si>
  <si>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</si>
  <si>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</si>
  <si>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</si>
  <si>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</si>
  <si>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</si>
  <si>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</si>
  <si>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</si>
  <si>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</si>
  <si>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</si>
  <si>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</si>
  <si>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</si>
  <si>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</si>
  <si>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</si>
  <si>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</si>
  <si>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</si>
  <si>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</si>
  <si>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</si>
  <si>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</si>
  <si>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</si>
  <si>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</si>
  <si>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</si>
  <si>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</si>
  <si>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</si>
  <si>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</si>
  <si>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</si>
  <si>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</si>
  <si>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</si>
  <si>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</si>
  <si>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</si>
  <si>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</si>
  <si>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</si>
  <si>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</si>
  <si>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</si>
  <si>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</si>
  <si>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</si>
  <si>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</si>
  <si>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</si>
  <si>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</si>
  <si>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</si>
  <si>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</si>
  <si>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</si>
  <si>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</si>
  <si>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</si>
  <si>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</si>
  <si>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</si>
  <si>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</si>
  <si>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</si>
  <si>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</si>
  <si>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</si>
  <si>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</si>
  <si>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</si>
  <si>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</si>
  <si>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</si>
  <si>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</si>
  <si>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</si>
  <si>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</si>
  <si>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</si>
  <si>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</si>
  <si>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</si>
  <si>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</si>
  <si>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</si>
  <si>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</si>
  <si>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</si>
  <si>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</si>
  <si>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</si>
  <si>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</si>
  <si>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</si>
  <si>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</si>
  <si>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</si>
  <si>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</si>
  <si>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</si>
  <si>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</si>
  <si>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</si>
  <si>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</si>
  <si>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</si>
  <si>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</si>
  <si>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</si>
  <si>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</si>
  <si>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</si>
  <si>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</si>
  <si>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</si>
  <si>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</si>
  <si>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</si>
  <si>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</si>
  <si>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</si>
  <si>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</si>
  <si>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</si>
  <si>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</si>
  <si>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</si>
  <si>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</si>
  <si>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</si>
  <si>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</si>
  <si>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</si>
  <si>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</si>
  <si>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</si>
  <si>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</si>
  <si>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</si>
  <si>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</si>
  <si>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</si>
  <si>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</si>
  <si>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</si>
  <si>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</si>
  <si>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</si>
  <si>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</si>
  <si>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</si>
  <si>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</si>
  <si>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</si>
  <si>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</si>
  <si>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</si>
  <si>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</si>
  <si>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</si>
  <si>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</si>
  <si>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</si>
  <si>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</si>
  <si>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</si>
  <si>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</si>
  <si>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</si>
  <si>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</si>
  <si>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</si>
  <si>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</si>
  <si>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</si>
  <si>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</si>
  <si>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</si>
  <si>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</si>
  <si>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</si>
  <si>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</si>
  <si>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</si>
  <si>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</si>
  <si>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</si>
  <si>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</si>
  <si>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</si>
  <si>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</si>
  <si>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</si>
  <si>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</si>
  <si>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</si>
  <si>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</si>
  <si>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</si>
  <si>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</si>
  <si>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</si>
  <si>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</si>
  <si>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</si>
  <si>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</si>
  <si>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</si>
  <si>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</si>
  <si>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</si>
  <si>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</si>
  <si>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</si>
  <si>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</si>
  <si>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</si>
  <si>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</si>
  <si>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</si>
  <si>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</si>
  <si>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</si>
  <si>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</si>
  <si>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</si>
  <si>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</si>
  <si>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</si>
  <si>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</si>
  <si>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</si>
  <si>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</si>
  <si>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</si>
  <si>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</si>
  <si>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</si>
  <si>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</si>
  <si>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</si>
  <si>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</si>
  <si>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</si>
  <si>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</si>
  <si>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</si>
  <si>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</si>
  <si>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</si>
  <si>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</si>
  <si>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</si>
  <si>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</si>
  <si>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</si>
  <si>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</si>
  <si>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</si>
  <si>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</si>
  <si>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</si>
  <si>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</si>
  <si>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</si>
  <si>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</si>
  <si>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</si>
  <si>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</si>
  <si>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</si>
  <si>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</si>
  <si>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</si>
  <si>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</si>
  <si>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</si>
  <si>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</si>
  <si>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</si>
  <si>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</si>
  <si>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</si>
  <si>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</si>
  <si>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</si>
  <si>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</si>
  <si>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</si>
  <si>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</si>
  <si>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</si>
  <si>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</si>
  <si>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</si>
  <si>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</si>
  <si>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</si>
  <si>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</si>
  <si>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</si>
  <si>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</si>
  <si>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</si>
  <si>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</si>
  <si>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</si>
  <si>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</si>
  <si>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</si>
  <si>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</si>
  <si>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</si>
  <si>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</si>
  <si>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</si>
  <si>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</si>
  <si>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</si>
  <si>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</si>
  <si>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</si>
  <si>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</si>
  <si>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</si>
  <si>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</si>
  <si>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</si>
  <si>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</si>
  <si>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</si>
  <si>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</si>
  <si>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</si>
  <si>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</si>
  <si>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</si>
  <si>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</si>
  <si>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</si>
  <si>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</si>
  <si>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</si>
  <si>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</si>
  <si>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</si>
  <si>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</si>
  <si>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</si>
  <si>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</si>
  <si>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</si>
  <si>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</si>
  <si>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</si>
  <si>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</si>
  <si>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</si>
  <si>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</si>
  <si>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</si>
  <si>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</si>
  <si>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</si>
  <si>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</si>
  <si>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</si>
  <si>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</si>
  <si>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</si>
  <si>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</si>
  <si>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</si>
  <si>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</si>
  <si>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</si>
  <si>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</si>
  <si>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</si>
  <si>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</si>
  <si>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</si>
  <si>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</si>
  <si>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</si>
  <si>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</si>
  <si>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</si>
  <si>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</si>
  <si>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</si>
  <si>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</si>
  <si>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</si>
  <si>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</si>
  <si>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</si>
  <si>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</si>
  <si>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</si>
  <si>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</si>
  <si>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</si>
  <si>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</si>
  <si>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</si>
  <si>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</si>
  <si>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</si>
  <si>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</si>
  <si>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</si>
  <si>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</si>
  <si>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</si>
  <si>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</si>
  <si>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</si>
  <si>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</si>
  <si>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</si>
  <si>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</si>
  <si>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</si>
  <si>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</si>
  <si>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</si>
  <si>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</si>
  <si>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</si>
  <si>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</si>
  <si>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</si>
  <si>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</si>
  <si>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</si>
  <si>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</si>
  <si>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</si>
  <si>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</si>
  <si>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</si>
  <si>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</si>
  <si>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</si>
  <si>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</si>
  <si>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</si>
  <si>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</si>
  <si>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</si>
  <si>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</si>
  <si>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</si>
  <si>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</si>
  <si>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</si>
  <si>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</si>
  <si>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</si>
  <si>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</si>
  <si>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</si>
  <si>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</si>
  <si>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</si>
  <si>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</si>
  <si>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</si>
  <si>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</si>
  <si>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</si>
  <si>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</si>
  <si>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</si>
  <si>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</si>
  <si>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</si>
  <si>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</si>
  <si>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</si>
  <si>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</si>
  <si>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</si>
  <si>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</si>
  <si>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</si>
  <si>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</si>
  <si>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</si>
  <si>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</si>
  <si>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</si>
  <si>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</si>
  <si>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</si>
  <si>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</si>
  <si>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</si>
  <si>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</si>
  <si>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</si>
  <si>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</si>
  <si>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</si>
  <si>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</si>
  <si>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</si>
  <si>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</si>
  <si>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</si>
  <si>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</si>
  <si>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</si>
  <si>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</si>
  <si>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</si>
  <si>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</si>
  <si>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</si>
  <si>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</si>
  <si>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</si>
  <si>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</si>
  <si>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</si>
  <si>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</si>
  <si>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</si>
  <si>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</si>
  <si>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</si>
  <si>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</si>
  <si>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</si>
  <si>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</si>
  <si>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</si>
  <si>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</si>
  <si>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</si>
  <si>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</si>
  <si>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</si>
  <si>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</si>
  <si>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</si>
  <si>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</si>
  <si>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</si>
  <si>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</si>
  <si>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</si>
  <si>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</si>
  <si>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</si>
  <si>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</si>
  <si>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</si>
  <si>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</si>
  <si>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</si>
  <si>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</si>
  <si>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</si>
  <si>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</si>
  <si>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</si>
  <si>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</si>
  <si>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</si>
  <si>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</si>
  <si>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</si>
  <si>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</si>
  <si>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</si>
  <si>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</si>
  <si>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</si>
  <si>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</si>
  <si>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</si>
  <si>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</si>
  <si>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</si>
  <si>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</si>
  <si>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</si>
  <si>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</si>
  <si>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</si>
  <si>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</si>
  <si>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</si>
  <si>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</si>
  <si>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</si>
  <si>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</si>
  <si>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</si>
  <si>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</si>
  <si>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</si>
  <si>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</si>
  <si>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</si>
  <si>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</si>
  <si>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</si>
  <si>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</si>
  <si>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</si>
  <si>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</si>
  <si>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</si>
  <si>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</si>
  <si>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</si>
  <si>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</si>
  <si>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</si>
  <si>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</si>
  <si>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</si>
  <si>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</si>
  <si>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</si>
  <si>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</si>
  <si>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</si>
  <si>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</si>
  <si>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</si>
  <si>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</si>
  <si>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</si>
  <si>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</si>
  <si>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</si>
  <si>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</si>
  <si>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</si>
  <si>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</si>
  <si>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</si>
  <si>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</si>
  <si>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</si>
  <si>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</si>
  <si>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</si>
  <si>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</si>
  <si>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</si>
  <si>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63,944 (July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</si>
</sst>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00"/>
    <numFmt numFmtId="167" formatCode="&quot;$&quot;#,##0"/>
  </numFmts>
  <fonts count="32"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sz val="25"/>
      <name val="Times New Roman"/>
      <family val="1"/>
    </font>
    <font>
      <u/>
      <sz val="10"/>
      <name val="Arial"/>
      <family val="2"/>
    </font>
    <font>
      <b/>
      <sz val="30"/>
      <name val="Cambria"/>
      <family val="1"/>
      <scheme val="major"/>
    </font>
    <font>
      <b/>
      <sz val="25"/>
      <name val="Cambria"/>
      <family val="1"/>
      <scheme val="major"/>
    </font>
    <font>
      <sz val="25"/>
      <name val="Cambria"/>
      <family val="1"/>
      <scheme val="major"/>
    </font>
    <font>
      <b/>
      <sz val="12"/>
      <color theme="0"/>
      <name val="Cambria"/>
      <family val="1"/>
      <scheme val="major"/>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002060"/>
        <bgColor indexed="64"/>
      </patternFill>
    </fill>
    <fill>
      <patternFill patternType="solid">
        <fgColor theme="0" tint="-0.14996795556505021"/>
        <bgColor indexed="64"/>
      </patternFill>
    </fill>
    <fill>
      <patternFill patternType="solid">
        <fgColor rgb="FF66FF66"/>
        <bgColor indexed="64"/>
      </patternFill>
    </fill>
    <fill>
      <patternFill patternType="solid">
        <fgColor theme="0" tint="-0.14999847407452621"/>
        <bgColor indexed="64"/>
      </patternFill>
    </fill>
  </fills>
  <borders count="20">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rgb="FF0099FF"/>
      </bottom>
      <diagonal/>
    </border>
  </borders>
  <cellStyleXfs count="1">
    <xf numFmtId="0" fontId="0" fillId="0" borderId="0"/>
  </cellStyleXfs>
  <cellXfs count="135">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13" xfId="0" applyFont="1" applyFill="1" applyBorder="1"/>
    <xf numFmtId="0" fontId="0" fillId="5" borderId="2" xfId="0" applyFill="1" applyBorder="1"/>
    <xf numFmtId="0" fontId="0" fillId="5" borderId="14" xfId="0" applyFill="1" applyBorder="1"/>
    <xf numFmtId="0" fontId="0" fillId="5" borderId="1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15" xfId="0" applyNumberFormat="1" applyFill="1" applyBorder="1"/>
    <xf numFmtId="3" fontId="1" fillId="5" borderId="15" xfId="0" applyNumberFormat="1" applyFont="1" applyFill="1" applyBorder="1"/>
    <xf numFmtId="0" fontId="13" fillId="5" borderId="15" xfId="0" applyFont="1" applyFill="1" applyBorder="1"/>
    <xf numFmtId="0" fontId="0" fillId="5" borderId="16" xfId="0" applyFill="1" applyBorder="1"/>
    <xf numFmtId="0" fontId="0" fillId="5" borderId="17" xfId="0" applyFill="1" applyBorder="1"/>
    <xf numFmtId="0" fontId="0" fillId="5" borderId="1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27" fillId="5" borderId="0" xfId="0" applyFont="1" applyFill="1" applyBorder="1" applyAlignment="1">
      <alignment horizontal="center"/>
    </xf>
    <xf numFmtId="0" fontId="27" fillId="5" borderId="1" xfId="0" applyFont="1" applyFill="1" applyBorder="1" applyAlignment="1">
      <alignment horizontal="center"/>
    </xf>
    <xf numFmtId="0" fontId="1" fillId="3" borderId="0" xfId="0" applyFont="1" applyFill="1"/>
    <xf numFmtId="0" fontId="0" fillId="3" borderId="0" xfId="0" applyFill="1"/>
    <xf numFmtId="0" fontId="27"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 fillId="6" borderId="0" xfId="0" applyFont="1" applyFill="1" applyAlignment="1">
      <alignment vertical="top"/>
    </xf>
    <xf numFmtId="0" fontId="3" fillId="6" borderId="0" xfId="0" applyFont="1" applyFill="1" applyAlignment="1">
      <alignment horizontal="center" vertical="top"/>
    </xf>
    <xf numFmtId="0" fontId="26" fillId="6" borderId="0" xfId="0" applyFont="1" applyFill="1" applyAlignment="1">
      <alignment vertical="top"/>
    </xf>
    <xf numFmtId="0" fontId="4" fillId="6" borderId="0" xfId="0" applyFont="1" applyFill="1" applyAlignment="1">
      <alignment vertical="top"/>
    </xf>
    <xf numFmtId="0" fontId="20" fillId="6" borderId="0" xfId="0" applyFont="1" applyFill="1" applyAlignment="1">
      <alignment vertical="top"/>
    </xf>
    <xf numFmtId="0" fontId="5" fillId="6" borderId="0" xfId="0" applyFont="1" applyFill="1" applyAlignment="1">
      <alignment vertical="top"/>
    </xf>
    <xf numFmtId="0" fontId="3" fillId="6" borderId="0" xfId="0" applyFont="1" applyFill="1" applyBorder="1" applyAlignment="1">
      <alignment horizontal="center" vertical="top"/>
    </xf>
    <xf numFmtId="0" fontId="21" fillId="6" borderId="0" xfId="0" applyFont="1" applyFill="1" applyAlignment="1">
      <alignment vertical="top"/>
    </xf>
    <xf numFmtId="0" fontId="22" fillId="6" borderId="0" xfId="0" applyFont="1" applyFill="1" applyAlignment="1">
      <alignment vertical="top"/>
    </xf>
    <xf numFmtId="0" fontId="0" fillId="6" borderId="0" xfId="0" applyFill="1"/>
    <xf numFmtId="0" fontId="23" fillId="6" borderId="3" xfId="0" applyFont="1" applyFill="1" applyBorder="1" applyAlignment="1">
      <alignment vertical="top"/>
    </xf>
    <xf numFmtId="0" fontId="23" fillId="6" borderId="4" xfId="0" applyFont="1" applyFill="1" applyBorder="1" applyAlignment="1">
      <alignment vertical="top"/>
    </xf>
    <xf numFmtId="0" fontId="24" fillId="6" borderId="4" xfId="0" applyFont="1" applyFill="1" applyBorder="1" applyAlignment="1">
      <alignment vertical="top"/>
    </xf>
    <xf numFmtId="0" fontId="24" fillId="6" borderId="5" xfId="0" applyFont="1" applyFill="1" applyBorder="1" applyAlignment="1">
      <alignment vertical="top"/>
    </xf>
    <xf numFmtId="0" fontId="24" fillId="6" borderId="6" xfId="0" applyFont="1" applyFill="1" applyBorder="1" applyAlignment="1">
      <alignment vertical="top"/>
    </xf>
    <xf numFmtId="0" fontId="24" fillId="6" borderId="7" xfId="0" applyFont="1" applyFill="1" applyBorder="1" applyAlignment="1">
      <alignment vertical="top"/>
    </xf>
    <xf numFmtId="0" fontId="24" fillId="6" borderId="0" xfId="0" applyFont="1" applyFill="1" applyBorder="1" applyAlignment="1">
      <alignment vertical="top"/>
    </xf>
    <xf numFmtId="0" fontId="25" fillId="6" borderId="2" xfId="0" applyFont="1" applyFill="1" applyBorder="1" applyAlignment="1">
      <alignment horizontal="center" vertical="top"/>
    </xf>
    <xf numFmtId="0" fontId="25" fillId="6" borderId="8" xfId="0" applyFont="1" applyFill="1" applyBorder="1" applyAlignment="1">
      <alignment horizontal="center" vertical="top"/>
    </xf>
    <xf numFmtId="0" fontId="23" fillId="6" borderId="0" xfId="0" applyNumberFormat="1" applyFont="1" applyFill="1" applyBorder="1" applyAlignment="1" applyProtection="1">
      <alignment horizontal="center" vertical="top"/>
      <protection locked="0"/>
    </xf>
    <xf numFmtId="0" fontId="23" fillId="6" borderId="0" xfId="0" applyFont="1" applyFill="1" applyBorder="1" applyAlignment="1">
      <alignment horizontal="center" vertical="top"/>
    </xf>
    <xf numFmtId="9" fontId="23" fillId="6" borderId="9" xfId="0" applyNumberFormat="1" applyFont="1" applyFill="1" applyBorder="1" applyAlignment="1">
      <alignment horizontal="center" vertical="top"/>
    </xf>
    <xf numFmtId="0" fontId="28" fillId="6" borderId="0" xfId="0" applyFont="1" applyFill="1" applyAlignment="1">
      <alignment vertical="top"/>
    </xf>
    <xf numFmtId="0" fontId="29" fillId="6" borderId="0" xfId="0" applyFont="1" applyFill="1" applyAlignment="1">
      <alignment vertical="top"/>
    </xf>
    <xf numFmtId="0" fontId="30" fillId="6" borderId="0" xfId="0" applyFont="1" applyFill="1" applyAlignment="1">
      <alignment vertical="top"/>
    </xf>
    <xf numFmtId="0" fontId="31" fillId="7" borderId="0" xfId="0" applyFont="1" applyFill="1" applyBorder="1" applyAlignment="1" applyProtection="1">
      <alignment vertical="top"/>
      <protection locked="0"/>
    </xf>
    <xf numFmtId="0" fontId="31" fillId="7" borderId="0" xfId="0" applyFont="1" applyFill="1" applyAlignment="1">
      <alignment vertical="top"/>
    </xf>
    <xf numFmtId="0" fontId="20" fillId="7" borderId="0" xfId="0" applyFont="1" applyFill="1" applyAlignment="1">
      <alignment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1" fillId="0" borderId="0" xfId="0" applyFont="1" applyFill="1"/>
    <xf numFmtId="9" fontId="23" fillId="8" borderId="0" xfId="0" applyNumberFormat="1" applyFont="1" applyFill="1" applyBorder="1" applyAlignment="1">
      <alignment horizontal="center" vertical="top"/>
    </xf>
    <xf numFmtId="9" fontId="23" fillId="8" borderId="11" xfId="0" applyNumberFormat="1" applyFont="1" applyFill="1" applyBorder="1" applyAlignment="1">
      <alignment horizontal="center" vertical="top"/>
    </xf>
    <xf numFmtId="0" fontId="0" fillId="9" borderId="0" xfId="0" applyFill="1" applyAlignment="1">
      <alignment horizontal="center"/>
    </xf>
    <xf numFmtId="0" fontId="23" fillId="10" borderId="0" xfId="0" applyFont="1" applyFill="1" applyBorder="1" applyAlignment="1">
      <alignment horizontal="center" vertical="top"/>
    </xf>
    <xf numFmtId="0" fontId="23" fillId="8" borderId="19" xfId="0" applyFont="1" applyFill="1" applyBorder="1" applyAlignment="1">
      <alignment horizontal="center" vertical="top"/>
    </xf>
    <xf numFmtId="9" fontId="23" fillId="6" borderId="0" xfId="0" applyNumberFormat="1" applyFont="1" applyFill="1" applyBorder="1" applyAlignment="1">
      <alignment horizontal="center" vertical="top"/>
    </xf>
    <xf numFmtId="0" fontId="23" fillId="6" borderId="7" xfId="0" applyNumberFormat="1" applyFont="1" applyFill="1" applyBorder="1" applyAlignment="1">
      <alignment vertical="top"/>
    </xf>
    <xf numFmtId="0" fontId="23" fillId="6" borderId="0" xfId="0" applyNumberFormat="1" applyFont="1" applyFill="1" applyBorder="1" applyAlignment="1">
      <alignment vertical="top"/>
    </xf>
    <xf numFmtId="0" fontId="23" fillId="8" borderId="10" xfId="0" applyNumberFormat="1" applyFont="1" applyFill="1" applyBorder="1" applyAlignment="1">
      <alignment vertical="top"/>
    </xf>
    <xf numFmtId="0" fontId="23" fillId="8" borderId="11" xfId="0" applyNumberFormat="1" applyFont="1" applyFill="1" applyBorder="1" applyAlignment="1">
      <alignment vertical="top"/>
    </xf>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31" fillId="7"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0099FF"/>
      <color rgb="FF368ED6"/>
      <color rgb="FF66FF66"/>
      <color rgb="FF00B050"/>
      <color rgb="FFD9D9D9"/>
      <color rgb="FF0066FF"/>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297180</xdr:colOff>
      <xdr:row>0</xdr:row>
      <xdr:rowOff>121920</xdr:rowOff>
    </xdr:from>
    <xdr:to>
      <xdr:col>17</xdr:col>
      <xdr:colOff>609600</xdr:colOff>
      <xdr:row>3</xdr:row>
      <xdr:rowOff>22538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4560" y="121920"/>
          <a:ext cx="1706880" cy="87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N16" sqref="N16"/>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269</v>
      </c>
      <c r="N1" s="4" t="s">
        <v>270</v>
      </c>
      <c r="O1" s="4" t="s">
        <v>271</v>
      </c>
    </row>
    <row r="2" spans="1:15" s="11" customFormat="1" x14ac:dyDescent="0.25">
      <c r="A2" s="6">
        <v>1</v>
      </c>
      <c r="B2" s="19" t="s">
        <v>221</v>
      </c>
      <c r="C2" s="44" t="s">
        <v>236</v>
      </c>
      <c r="D2" s="45" t="s">
        <v>242</v>
      </c>
      <c r="E2" s="35" t="s">
        <v>243</v>
      </c>
      <c r="F2" s="45" t="s">
        <v>237</v>
      </c>
      <c r="G2" s="45" t="s">
        <v>502</v>
      </c>
      <c r="H2" s="35"/>
      <c r="I2" s="35"/>
      <c r="J2" s="35"/>
      <c r="K2" s="35"/>
      <c r="L2" s="35"/>
      <c r="M2" s="35"/>
    </row>
    <row r="3" spans="1:15" x14ac:dyDescent="0.25">
      <c r="A3" s="5">
        <v>2</v>
      </c>
      <c r="B3" s="20" t="s">
        <v>4</v>
      </c>
      <c r="C3" s="35" t="s">
        <v>244</v>
      </c>
      <c r="D3" s="35" t="s">
        <v>247</v>
      </c>
      <c r="E3" s="35" t="s">
        <v>248</v>
      </c>
      <c r="F3" s="35" t="s">
        <v>245</v>
      </c>
      <c r="G3" s="35" t="s">
        <v>474</v>
      </c>
      <c r="H3" s="35" t="s">
        <v>246</v>
      </c>
      <c r="I3" s="35" t="s">
        <v>475</v>
      </c>
      <c r="J3" s="35" t="s">
        <v>476</v>
      </c>
      <c r="K3" s="35"/>
      <c r="L3" s="35"/>
      <c r="M3" s="35"/>
    </row>
    <row r="4" spans="1:15" x14ac:dyDescent="0.25">
      <c r="A4" s="5">
        <v>3</v>
      </c>
      <c r="B4" s="34" t="s">
        <v>235</v>
      </c>
      <c r="C4" s="46" t="s">
        <v>71</v>
      </c>
      <c r="D4" s="46" t="s">
        <v>461</v>
      </c>
      <c r="E4" s="46" t="s">
        <v>70</v>
      </c>
      <c r="F4" s="35" t="s">
        <v>272</v>
      </c>
      <c r="G4" s="47" t="s">
        <v>468</v>
      </c>
      <c r="H4" s="47" t="s">
        <v>327</v>
      </c>
      <c r="I4" s="47" t="s">
        <v>532</v>
      </c>
      <c r="J4" s="35" t="s">
        <v>533</v>
      </c>
      <c r="K4" s="35"/>
      <c r="L4" s="35"/>
      <c r="M4" s="35"/>
    </row>
    <row r="5" spans="1:15" x14ac:dyDescent="0.25">
      <c r="A5" s="5">
        <f>SUM(A4+1)</f>
        <v>4</v>
      </c>
      <c r="B5" s="21" t="s">
        <v>5</v>
      </c>
      <c r="C5" s="46" t="s">
        <v>23</v>
      </c>
      <c r="D5" s="46" t="s">
        <v>368</v>
      </c>
      <c r="E5" s="46" t="s">
        <v>369</v>
      </c>
      <c r="F5" s="46" t="s">
        <v>370</v>
      </c>
      <c r="G5" s="46" t="s">
        <v>24</v>
      </c>
      <c r="H5" s="46" t="s">
        <v>48</v>
      </c>
      <c r="I5" s="46" t="s">
        <v>371</v>
      </c>
      <c r="J5" s="46" t="s">
        <v>372</v>
      </c>
      <c r="K5" s="46"/>
      <c r="L5" s="46"/>
      <c r="M5" s="35"/>
    </row>
    <row r="6" spans="1:15" x14ac:dyDescent="0.25">
      <c r="A6" s="5">
        <v>5</v>
      </c>
      <c r="B6" s="21" t="s">
        <v>424</v>
      </c>
      <c r="C6" s="35" t="s">
        <v>425</v>
      </c>
      <c r="D6" s="35" t="s">
        <v>426</v>
      </c>
      <c r="E6" s="46" t="s">
        <v>427</v>
      </c>
      <c r="F6" s="47" t="s">
        <v>428</v>
      </c>
      <c r="G6" s="47" t="s">
        <v>429</v>
      </c>
      <c r="H6" s="35"/>
      <c r="I6" s="35"/>
      <c r="J6" s="46"/>
      <c r="K6" s="46"/>
      <c r="L6" s="46"/>
      <c r="M6" s="35"/>
    </row>
    <row r="7" spans="1:15" x14ac:dyDescent="0.25">
      <c r="A7" s="5">
        <v>6</v>
      </c>
      <c r="B7" s="53" t="s">
        <v>482</v>
      </c>
      <c r="C7" s="46" t="s">
        <v>478</v>
      </c>
      <c r="D7" s="46" t="s">
        <v>489</v>
      </c>
      <c r="E7" s="46" t="s">
        <v>479</v>
      </c>
      <c r="F7" s="46" t="s">
        <v>480</v>
      </c>
      <c r="G7" s="46" t="s">
        <v>523</v>
      </c>
      <c r="H7" s="47" t="s">
        <v>488</v>
      </c>
      <c r="I7" s="46" t="s">
        <v>484</v>
      </c>
      <c r="J7" s="46" t="s">
        <v>485</v>
      </c>
      <c r="K7" s="46" t="s">
        <v>494</v>
      </c>
      <c r="M7" s="35"/>
    </row>
    <row r="8" spans="1:15" x14ac:dyDescent="0.25">
      <c r="A8" s="5">
        <v>7</v>
      </c>
      <c r="B8" s="21" t="s">
        <v>234</v>
      </c>
      <c r="C8" s="46" t="s">
        <v>26</v>
      </c>
      <c r="D8" s="46" t="s">
        <v>252</v>
      </c>
      <c r="E8" s="46" t="s">
        <v>521</v>
      </c>
      <c r="F8" s="47" t="s">
        <v>189</v>
      </c>
      <c r="G8" s="47" t="s">
        <v>253</v>
      </c>
      <c r="H8" s="47" t="s">
        <v>408</v>
      </c>
      <c r="I8" s="47" t="s">
        <v>409</v>
      </c>
      <c r="J8" s="35"/>
      <c r="K8" s="35"/>
      <c r="L8" s="35"/>
      <c r="M8" s="35"/>
    </row>
    <row r="9" spans="1:15" x14ac:dyDescent="0.25">
      <c r="A9" s="5">
        <f t="shared" ref="A9:A30" si="0">SUM((A8+1))</f>
        <v>8</v>
      </c>
      <c r="B9" s="23" t="s">
        <v>25</v>
      </c>
      <c r="C9" s="46" t="s">
        <v>32</v>
      </c>
      <c r="D9" s="46" t="s">
        <v>62</v>
      </c>
      <c r="E9" s="46" t="s">
        <v>122</v>
      </c>
      <c r="F9" s="46" t="s">
        <v>63</v>
      </c>
      <c r="G9" s="46" t="s">
        <v>374</v>
      </c>
      <c r="H9" s="47" t="s">
        <v>352</v>
      </c>
      <c r="I9" s="47" t="s">
        <v>353</v>
      </c>
      <c r="J9" s="47" t="s">
        <v>354</v>
      </c>
      <c r="K9" s="47" t="s">
        <v>355</v>
      </c>
      <c r="L9" s="47" t="s">
        <v>356</v>
      </c>
      <c r="M9" s="47" t="s">
        <v>357</v>
      </c>
      <c r="N9" s="8" t="s">
        <v>486</v>
      </c>
      <c r="O9" s="8" t="s">
        <v>498</v>
      </c>
    </row>
    <row r="10" spans="1:15" x14ac:dyDescent="0.25">
      <c r="A10" s="5">
        <f t="shared" si="0"/>
        <v>9</v>
      </c>
      <c r="B10" s="24" t="s">
        <v>69</v>
      </c>
      <c r="C10" s="46" t="s">
        <v>439</v>
      </c>
      <c r="D10" s="46" t="s">
        <v>273</v>
      </c>
      <c r="E10" s="47" t="s">
        <v>274</v>
      </c>
      <c r="F10" s="47" t="s">
        <v>275</v>
      </c>
      <c r="G10" s="47" t="s">
        <v>276</v>
      </c>
      <c r="H10" s="47" t="s">
        <v>277</v>
      </c>
      <c r="I10" s="47" t="s">
        <v>278</v>
      </c>
      <c r="J10" s="47" t="s">
        <v>279</v>
      </c>
      <c r="K10" s="47" t="s">
        <v>280</v>
      </c>
      <c r="L10" s="47" t="s">
        <v>281</v>
      </c>
      <c r="M10" s="35"/>
    </row>
    <row r="11" spans="1:15" x14ac:dyDescent="0.25">
      <c r="A11" s="5">
        <f t="shared" si="0"/>
        <v>10</v>
      </c>
      <c r="B11" s="20" t="s">
        <v>227</v>
      </c>
      <c r="C11" s="35" t="s">
        <v>47</v>
      </c>
      <c r="D11" s="35" t="s">
        <v>101</v>
      </c>
      <c r="E11" s="47" t="s">
        <v>257</v>
      </c>
      <c r="F11" s="47" t="s">
        <v>496</v>
      </c>
      <c r="G11" s="35"/>
      <c r="H11" s="35"/>
      <c r="I11" s="35"/>
      <c r="J11" s="35"/>
      <c r="K11" s="35"/>
      <c r="L11" s="35"/>
      <c r="M11" s="35"/>
    </row>
    <row r="12" spans="1:15" x14ac:dyDescent="0.25">
      <c r="A12" s="5">
        <f t="shared" si="0"/>
        <v>11</v>
      </c>
      <c r="B12" s="21" t="s">
        <v>6</v>
      </c>
      <c r="C12" s="46" t="s">
        <v>318</v>
      </c>
      <c r="D12" s="46" t="s">
        <v>319</v>
      </c>
      <c r="E12" s="46" t="s">
        <v>72</v>
      </c>
      <c r="F12" s="47" t="s">
        <v>51</v>
      </c>
      <c r="G12" s="46" t="s">
        <v>423</v>
      </c>
      <c r="H12" s="46" t="s">
        <v>320</v>
      </c>
      <c r="I12" s="46" t="s">
        <v>321</v>
      </c>
      <c r="J12" s="46" t="s">
        <v>322</v>
      </c>
      <c r="K12" s="35" t="s">
        <v>323</v>
      </c>
      <c r="L12" s="35" t="s">
        <v>324</v>
      </c>
      <c r="M12" s="35" t="s">
        <v>325</v>
      </c>
      <c r="N12" s="11" t="s">
        <v>403</v>
      </c>
      <c r="O12" s="11" t="s">
        <v>326</v>
      </c>
    </row>
    <row r="13" spans="1:15" x14ac:dyDescent="0.25">
      <c r="A13" s="5">
        <f t="shared" si="0"/>
        <v>12</v>
      </c>
      <c r="B13" s="21" t="s">
        <v>430</v>
      </c>
      <c r="C13" s="35" t="s">
        <v>434</v>
      </c>
      <c r="D13" s="35" t="s">
        <v>444</v>
      </c>
      <c r="E13" s="35" t="s">
        <v>435</v>
      </c>
      <c r="F13" s="46" t="s">
        <v>431</v>
      </c>
      <c r="G13" s="47" t="s">
        <v>432</v>
      </c>
      <c r="H13" s="47" t="s">
        <v>433</v>
      </c>
      <c r="I13" s="47" t="s">
        <v>499</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477</v>
      </c>
      <c r="I14" s="35" t="s">
        <v>78</v>
      </c>
      <c r="J14" s="35" t="s">
        <v>79</v>
      </c>
      <c r="K14" s="35" t="s">
        <v>333</v>
      </c>
      <c r="L14" s="35" t="s">
        <v>80</v>
      </c>
      <c r="M14" s="35" t="s">
        <v>238</v>
      </c>
    </row>
    <row r="15" spans="1:15" x14ac:dyDescent="0.25">
      <c r="A15" s="5">
        <f t="shared" si="0"/>
        <v>14</v>
      </c>
      <c r="B15" s="20" t="s">
        <v>230</v>
      </c>
      <c r="C15" s="46" t="s">
        <v>65</v>
      </c>
      <c r="D15" s="46" t="s">
        <v>66</v>
      </c>
      <c r="E15" s="46" t="s">
        <v>268</v>
      </c>
      <c r="F15" s="46" t="s">
        <v>524</v>
      </c>
      <c r="G15" s="46"/>
      <c r="H15" s="46"/>
      <c r="I15" s="46"/>
      <c r="J15" s="35"/>
      <c r="K15" s="35"/>
      <c r="L15" s="35"/>
      <c r="M15" s="35"/>
    </row>
    <row r="16" spans="1:15" x14ac:dyDescent="0.25">
      <c r="A16" s="5">
        <f t="shared" si="0"/>
        <v>15</v>
      </c>
      <c r="B16" s="21" t="s">
        <v>7</v>
      </c>
      <c r="C16" s="46" t="s">
        <v>39</v>
      </c>
      <c r="D16" s="46" t="s">
        <v>40</v>
      </c>
      <c r="E16" s="46" t="s">
        <v>27</v>
      </c>
      <c r="F16" s="46" t="s">
        <v>86</v>
      </c>
      <c r="G16" s="46" t="s">
        <v>28</v>
      </c>
      <c r="H16" s="46" t="s">
        <v>398</v>
      </c>
      <c r="I16" s="46"/>
      <c r="J16" s="35"/>
      <c r="K16" s="35"/>
      <c r="L16" s="35"/>
      <c r="M16" s="35"/>
    </row>
    <row r="17" spans="1:17" x14ac:dyDescent="0.25">
      <c r="A17" s="5">
        <f t="shared" si="0"/>
        <v>16</v>
      </c>
      <c r="B17" s="20" t="s">
        <v>8</v>
      </c>
      <c r="C17" s="46" t="s">
        <v>239</v>
      </c>
      <c r="D17" s="46" t="s">
        <v>52</v>
      </c>
      <c r="E17" s="46" t="s">
        <v>384</v>
      </c>
      <c r="F17" s="46" t="s">
        <v>53</v>
      </c>
      <c r="G17" s="46" t="s">
        <v>54</v>
      </c>
      <c r="H17" s="46" t="s">
        <v>258</v>
      </c>
      <c r="I17" s="46" t="s">
        <v>259</v>
      </c>
      <c r="J17" s="46" t="s">
        <v>260</v>
      </c>
      <c r="K17" s="46" t="s">
        <v>261</v>
      </c>
      <c r="L17" s="46" t="s">
        <v>525</v>
      </c>
      <c r="M17" s="46" t="s">
        <v>526</v>
      </c>
      <c r="N17" s="46" t="s">
        <v>527</v>
      </c>
      <c r="O17" s="46" t="s">
        <v>528</v>
      </c>
      <c r="P17" s="35"/>
      <c r="Q17" s="35"/>
    </row>
    <row r="18" spans="1:17" x14ac:dyDescent="0.25">
      <c r="A18" s="5">
        <f t="shared" si="0"/>
        <v>17</v>
      </c>
      <c r="B18" s="21" t="s">
        <v>483</v>
      </c>
      <c r="C18" s="46" t="s">
        <v>123</v>
      </c>
      <c r="D18" s="46" t="s">
        <v>124</v>
      </c>
      <c r="E18" s="46" t="s">
        <v>387</v>
      </c>
      <c r="F18" s="46" t="s">
        <v>249</v>
      </c>
      <c r="G18" s="46" t="s">
        <v>125</v>
      </c>
      <c r="H18" s="46" t="s">
        <v>126</v>
      </c>
      <c r="I18" s="46" t="s">
        <v>240</v>
      </c>
      <c r="J18" s="46" t="s">
        <v>241</v>
      </c>
      <c r="K18" s="46" t="s">
        <v>250</v>
      </c>
      <c r="L18" s="46" t="s">
        <v>251</v>
      </c>
      <c r="M18" s="46" t="s">
        <v>394</v>
      </c>
    </row>
    <row r="19" spans="1:17" x14ac:dyDescent="0.25">
      <c r="A19" s="5">
        <f t="shared" si="0"/>
        <v>18</v>
      </c>
      <c r="B19" s="21" t="s">
        <v>9</v>
      </c>
      <c r="C19" s="46" t="s">
        <v>375</v>
      </c>
      <c r="D19" s="46" t="s">
        <v>376</v>
      </c>
      <c r="E19" s="46" t="s">
        <v>55</v>
      </c>
      <c r="F19" s="46" t="s">
        <v>56</v>
      </c>
      <c r="G19" s="47" t="s">
        <v>395</v>
      </c>
      <c r="H19" s="47" t="s">
        <v>378</v>
      </c>
      <c r="I19" s="47" t="s">
        <v>400</v>
      </c>
      <c r="J19" s="35" t="s">
        <v>493</v>
      </c>
      <c r="K19" s="35"/>
      <c r="L19" s="35"/>
      <c r="M19" s="35"/>
    </row>
    <row r="20" spans="1:17" x14ac:dyDescent="0.25">
      <c r="A20" s="5">
        <f t="shared" si="0"/>
        <v>19</v>
      </c>
      <c r="B20" s="23" t="s">
        <v>61</v>
      </c>
      <c r="C20" s="46" t="s">
        <v>396</v>
      </c>
      <c r="D20" s="46" t="s">
        <v>397</v>
      </c>
      <c r="E20" s="47"/>
      <c r="F20" s="47"/>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503</v>
      </c>
      <c r="E22" s="46" t="s">
        <v>331</v>
      </c>
      <c r="F22" s="46" t="s">
        <v>332</v>
      </c>
      <c r="G22" s="46" t="s">
        <v>328</v>
      </c>
      <c r="H22" s="46" t="s">
        <v>330</v>
      </c>
      <c r="I22" s="46" t="s">
        <v>81</v>
      </c>
      <c r="J22" s="46" t="s">
        <v>82</v>
      </c>
      <c r="K22" s="46" t="s">
        <v>83</v>
      </c>
      <c r="L22" s="46" t="s">
        <v>100</v>
      </c>
      <c r="M22" s="35"/>
    </row>
    <row r="23" spans="1:17" x14ac:dyDescent="0.25">
      <c r="A23" s="5">
        <f t="shared" si="0"/>
        <v>22</v>
      </c>
      <c r="B23" s="21" t="s">
        <v>229</v>
      </c>
      <c r="C23" s="35" t="s">
        <v>256</v>
      </c>
      <c r="D23" s="35" t="s">
        <v>254</v>
      </c>
      <c r="E23" s="35" t="s">
        <v>255</v>
      </c>
      <c r="F23" s="46" t="s">
        <v>497</v>
      </c>
      <c r="G23" s="47" t="s">
        <v>522</v>
      </c>
      <c r="H23" s="47" t="s">
        <v>49</v>
      </c>
      <c r="I23" s="47" t="s">
        <v>545</v>
      </c>
      <c r="J23" s="47" t="s">
        <v>539</v>
      </c>
      <c r="K23" s="35" t="s">
        <v>538</v>
      </c>
      <c r="L23" s="35" t="s">
        <v>546</v>
      </c>
      <c r="M23" s="35" t="s">
        <v>540</v>
      </c>
      <c r="N23" s="35" t="s">
        <v>538</v>
      </c>
    </row>
    <row r="24" spans="1:17" x14ac:dyDescent="0.25">
      <c r="A24" s="5">
        <f t="shared" si="0"/>
        <v>23</v>
      </c>
      <c r="B24" s="21" t="s">
        <v>11</v>
      </c>
      <c r="C24" s="46" t="s">
        <v>266</v>
      </c>
      <c r="D24" s="46" t="s">
        <v>267</v>
      </c>
      <c r="E24" s="46" t="s">
        <v>50</v>
      </c>
      <c r="F24" s="46" t="s">
        <v>358</v>
      </c>
      <c r="G24" s="46" t="s">
        <v>385</v>
      </c>
      <c r="H24" s="46" t="s">
        <v>469</v>
      </c>
      <c r="I24" s="46" t="s">
        <v>507</v>
      </c>
      <c r="J24" s="46" t="s">
        <v>506</v>
      </c>
      <c r="K24" s="46" t="s">
        <v>57</v>
      </c>
      <c r="L24" s="46" t="s">
        <v>58</v>
      </c>
      <c r="M24" s="46" t="s">
        <v>67</v>
      </c>
    </row>
    <row r="25" spans="1:17" x14ac:dyDescent="0.25">
      <c r="A25" s="5">
        <f t="shared" si="0"/>
        <v>24</v>
      </c>
      <c r="B25" s="21" t="s">
        <v>12</v>
      </c>
      <c r="C25" s="46" t="s">
        <v>30</v>
      </c>
      <c r="D25" s="46" t="s">
        <v>31</v>
      </c>
      <c r="E25" s="46" t="s">
        <v>29</v>
      </c>
      <c r="F25" s="46" t="s">
        <v>399</v>
      </c>
      <c r="G25" s="46" t="s">
        <v>366</v>
      </c>
      <c r="H25" s="46" t="s">
        <v>367</v>
      </c>
      <c r="I25" s="35" t="s">
        <v>504</v>
      </c>
      <c r="J25" s="35"/>
      <c r="K25" s="35"/>
      <c r="L25" s="35"/>
      <c r="M25" s="35"/>
    </row>
    <row r="26" spans="1:17" x14ac:dyDescent="0.25">
      <c r="A26" s="5">
        <f t="shared" si="0"/>
        <v>25</v>
      </c>
      <c r="B26" s="21" t="s">
        <v>13</v>
      </c>
      <c r="C26" s="46" t="s">
        <v>436</v>
      </c>
      <c r="D26" s="46" t="s">
        <v>437</v>
      </c>
      <c r="E26" s="46" t="s">
        <v>64</v>
      </c>
      <c r="F26" s="46" t="s">
        <v>407</v>
      </c>
      <c r="G26" s="46" t="s">
        <v>405</v>
      </c>
      <c r="H26" s="47" t="s">
        <v>404</v>
      </c>
      <c r="I26" s="47" t="s">
        <v>406</v>
      </c>
      <c r="J26" s="47" t="s">
        <v>438</v>
      </c>
      <c r="K26" s="47"/>
      <c r="L26" s="35"/>
      <c r="M26" s="35"/>
    </row>
    <row r="27" spans="1:17" x14ac:dyDescent="0.25">
      <c r="A27" s="5">
        <f t="shared" si="0"/>
        <v>26</v>
      </c>
      <c r="B27" s="20" t="s">
        <v>187</v>
      </c>
      <c r="C27" s="46" t="s">
        <v>188</v>
      </c>
      <c r="D27" s="46" t="s">
        <v>464</v>
      </c>
      <c r="E27" s="46" t="s">
        <v>463</v>
      </c>
      <c r="F27" s="47" t="s">
        <v>373</v>
      </c>
      <c r="G27" s="47" t="s">
        <v>386</v>
      </c>
      <c r="H27" s="47" t="s">
        <v>529</v>
      </c>
      <c r="I27" s="47" t="s">
        <v>530</v>
      </c>
      <c r="J27" s="47"/>
      <c r="K27" s="35"/>
      <c r="L27" s="35"/>
      <c r="M27" s="35"/>
    </row>
    <row r="28" spans="1:17" x14ac:dyDescent="0.25">
      <c r="A28" s="5">
        <f t="shared" si="0"/>
        <v>27</v>
      </c>
      <c r="B28" s="20" t="s">
        <v>501</v>
      </c>
      <c r="C28" s="46" t="s">
        <v>505</v>
      </c>
      <c r="D28" s="46" t="s">
        <v>510</v>
      </c>
      <c r="E28" s="46" t="s">
        <v>508</v>
      </c>
      <c r="F28" s="47" t="s">
        <v>511</v>
      </c>
      <c r="G28" s="46" t="s">
        <v>509</v>
      </c>
      <c r="H28" s="46" t="s">
        <v>512</v>
      </c>
      <c r="I28" s="46" t="s">
        <v>513</v>
      </c>
      <c r="J28" s="35" t="s">
        <v>518</v>
      </c>
      <c r="K28" s="35" t="s">
        <v>519</v>
      </c>
      <c r="L28" s="35" t="s">
        <v>514</v>
      </c>
      <c r="M28" s="35" t="s">
        <v>517</v>
      </c>
      <c r="N28" s="35" t="s">
        <v>515</v>
      </c>
      <c r="O28" s="35" t="s">
        <v>516</v>
      </c>
    </row>
    <row r="29" spans="1:17" x14ac:dyDescent="0.25">
      <c r="A29" s="5">
        <f t="shared" si="0"/>
        <v>28</v>
      </c>
      <c r="B29" s="24" t="s">
        <v>232</v>
      </c>
      <c r="C29" s="46" t="s">
        <v>262</v>
      </c>
      <c r="D29" s="46" t="s">
        <v>388</v>
      </c>
      <c r="E29" s="46" t="s">
        <v>263</v>
      </c>
      <c r="F29" s="47" t="s">
        <v>377</v>
      </c>
      <c r="G29" s="47" t="s">
        <v>265</v>
      </c>
      <c r="H29" s="47" t="s">
        <v>264</v>
      </c>
      <c r="I29" s="35" t="s">
        <v>470</v>
      </c>
      <c r="J29" s="35" t="s">
        <v>471</v>
      </c>
      <c r="K29" s="35" t="s">
        <v>462</v>
      </c>
      <c r="L29" s="35"/>
      <c r="M29" s="35"/>
    </row>
    <row r="30" spans="1:17" ht="13.8" x14ac:dyDescent="0.25">
      <c r="A30" s="5">
        <f t="shared" si="0"/>
        <v>29</v>
      </c>
      <c r="B30" s="22">
        <v>911</v>
      </c>
      <c r="C30" s="46" t="s">
        <v>60</v>
      </c>
      <c r="D30" s="46" t="s">
        <v>392</v>
      </c>
      <c r="E30" s="46" t="s">
        <v>393</v>
      </c>
      <c r="F30" s="46" t="s">
        <v>68</v>
      </c>
      <c r="G30" s="47" t="s">
        <v>59</v>
      </c>
      <c r="H30" s="46" t="s">
        <v>487</v>
      </c>
      <c r="I30" s="46"/>
      <c r="J30" s="35"/>
      <c r="K30" s="35"/>
      <c r="L30" s="48"/>
      <c r="M30" s="49"/>
      <c r="N30" s="39"/>
      <c r="O30" s="39"/>
      <c r="P30" s="39"/>
      <c r="Q30" s="39"/>
    </row>
    <row r="31" spans="1:17" x14ac:dyDescent="0.25">
      <c r="A31" s="54"/>
      <c r="B31" s="52"/>
      <c r="N31" s="11"/>
      <c r="O31" s="11"/>
      <c r="P31" s="11"/>
      <c r="Q31" s="11"/>
    </row>
    <row r="32" spans="1:17" x14ac:dyDescent="0.25">
      <c r="K32" s="11" t="s">
        <v>329</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R7" sqref="R7"/>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1.88671875" style="1" customWidth="1"/>
    <col min="18" max="18" width="11" style="1" customWidth="1"/>
    <col min="19" max="19" width="13.5546875" style="1" customWidth="1"/>
    <col min="20" max="20" width="14.77734375" style="1" customWidth="1"/>
    <col min="21" max="21" width="9.109375" style="1"/>
    <col min="22" max="22" width="10.21875" style="1" customWidth="1"/>
    <col min="23" max="16384" width="9.109375" style="1"/>
  </cols>
  <sheetData>
    <row r="1" spans="1:19" ht="39.6" customHeight="1" x14ac:dyDescent="0.25">
      <c r="A1" s="109" t="s">
        <v>220</v>
      </c>
      <c r="B1" s="95"/>
      <c r="C1" s="95"/>
      <c r="D1" s="95"/>
      <c r="E1" s="95"/>
      <c r="F1" s="87"/>
      <c r="G1" s="87"/>
      <c r="H1" s="87"/>
      <c r="I1" s="87"/>
      <c r="J1" s="88"/>
      <c r="K1" s="87"/>
      <c r="L1" s="87"/>
      <c r="M1" s="87"/>
      <c r="N1" s="87"/>
      <c r="O1" s="87"/>
      <c r="P1" s="87"/>
      <c r="Q1" s="87"/>
      <c r="R1" s="87"/>
      <c r="S1" s="87"/>
    </row>
    <row r="2" spans="1:19" ht="31.8" customHeight="1" x14ac:dyDescent="0.25">
      <c r="A2" s="110" t="s">
        <v>0</v>
      </c>
      <c r="B2" s="111"/>
      <c r="C2" s="111"/>
      <c r="D2" s="111"/>
      <c r="E2" s="111"/>
      <c r="F2" s="89"/>
      <c r="G2" s="89"/>
      <c r="H2" s="87"/>
      <c r="I2" s="87"/>
      <c r="J2" s="87"/>
      <c r="K2" s="87"/>
      <c r="L2" s="87"/>
      <c r="M2" s="87"/>
      <c r="N2" s="87"/>
      <c r="O2" s="87"/>
      <c r="P2" s="87"/>
      <c r="Q2" s="87"/>
      <c r="R2" s="87"/>
      <c r="S2" s="87"/>
    </row>
    <row r="3" spans="1:19" ht="5.4" customHeight="1" x14ac:dyDescent="0.25">
      <c r="A3" s="90"/>
      <c r="B3" s="87"/>
      <c r="C3" s="87"/>
      <c r="D3" s="87"/>
      <c r="E3" s="87"/>
      <c r="F3" s="87"/>
      <c r="G3" s="87"/>
      <c r="H3" s="87"/>
      <c r="I3" s="87"/>
      <c r="J3" s="87"/>
      <c r="K3" s="87"/>
      <c r="L3" s="87"/>
      <c r="M3" s="87"/>
      <c r="N3" s="87"/>
      <c r="O3" s="87"/>
      <c r="P3" s="87"/>
      <c r="Q3" s="87"/>
      <c r="R3" s="87"/>
      <c r="S3" s="87"/>
    </row>
    <row r="4" spans="1:19" ht="3" customHeight="1" x14ac:dyDescent="0.25">
      <c r="A4" s="91"/>
      <c r="B4" s="91"/>
      <c r="C4" s="91"/>
      <c r="D4" s="91"/>
      <c r="E4" s="91"/>
      <c r="F4" s="91"/>
      <c r="G4" s="91"/>
      <c r="H4" s="91"/>
      <c r="I4" s="91"/>
      <c r="J4" s="91"/>
      <c r="K4" s="91"/>
      <c r="L4" s="91"/>
      <c r="M4" s="91"/>
      <c r="N4" s="91"/>
      <c r="O4" s="91"/>
      <c r="P4" s="91"/>
      <c r="Q4" s="91"/>
      <c r="R4" s="91"/>
      <c r="S4" s="91"/>
    </row>
    <row r="5" spans="1:19" ht="3.6" customHeight="1" x14ac:dyDescent="0.25">
      <c r="A5" s="92"/>
      <c r="B5" s="87"/>
      <c r="C5" s="87"/>
      <c r="D5" s="87"/>
      <c r="E5" s="87"/>
      <c r="F5" s="87"/>
      <c r="G5" s="87"/>
      <c r="H5" s="87"/>
      <c r="I5" s="87"/>
      <c r="J5" s="87"/>
      <c r="K5" s="87"/>
      <c r="L5" s="87"/>
      <c r="M5" s="87"/>
      <c r="N5" s="87" t="s">
        <v>495</v>
      </c>
      <c r="O5" s="93" t="s">
        <v>495</v>
      </c>
      <c r="P5" s="87"/>
      <c r="Q5" s="87"/>
      <c r="R5" s="87"/>
      <c r="S5" s="87"/>
    </row>
    <row r="6" spans="1:19" ht="16.2" customHeight="1" x14ac:dyDescent="0.25">
      <c r="A6" s="92"/>
      <c r="B6" s="87"/>
      <c r="C6" s="87"/>
      <c r="D6" s="87"/>
      <c r="E6" s="87"/>
      <c r="F6" s="87"/>
      <c r="G6" s="87"/>
      <c r="H6" s="87"/>
      <c r="I6" s="87"/>
      <c r="J6" s="87"/>
      <c r="K6" s="87"/>
      <c r="L6" s="87"/>
      <c r="M6" s="87"/>
      <c r="N6" s="87" t="s">
        <v>329</v>
      </c>
      <c r="O6" s="87" t="s">
        <v>495</v>
      </c>
      <c r="P6" s="87"/>
      <c r="Q6" s="87" t="s">
        <v>495</v>
      </c>
      <c r="R6" s="87"/>
      <c r="S6" s="112">
        <v>1</v>
      </c>
    </row>
    <row r="7" spans="1:19" ht="15" x14ac:dyDescent="0.25">
      <c r="A7" s="94" t="s">
        <v>1</v>
      </c>
      <c r="B7" s="134" t="str">
        <f>VLOOKUP(S6,'Code Sheet'!A1:G34,2,TRUE)</f>
        <v>Agri-Civic Center</v>
      </c>
      <c r="C7" s="134"/>
      <c r="D7" s="134"/>
      <c r="E7" s="87"/>
      <c r="F7" s="87"/>
      <c r="G7" s="87"/>
      <c r="H7" s="94" t="s">
        <v>41</v>
      </c>
      <c r="I7" s="95"/>
      <c r="J7" s="113">
        <v>2020</v>
      </c>
      <c r="K7" s="114"/>
      <c r="L7" s="87"/>
      <c r="M7" s="87" t="s">
        <v>531</v>
      </c>
      <c r="N7" s="96"/>
      <c r="O7" s="87" t="s">
        <v>329</v>
      </c>
      <c r="P7" s="87" t="s">
        <v>495</v>
      </c>
      <c r="Q7" s="87"/>
      <c r="R7" s="87"/>
      <c r="S7" s="87" t="s">
        <v>495</v>
      </c>
    </row>
    <row r="8" spans="1:19" ht="7.5" customHeight="1" x14ac:dyDescent="0.25">
      <c r="A8" s="87"/>
      <c r="B8" s="87"/>
      <c r="C8" s="87"/>
      <c r="D8" s="87"/>
      <c r="E8" s="87"/>
      <c r="F8" s="87"/>
      <c r="G8" s="87"/>
      <c r="H8" s="87"/>
      <c r="I8" s="87"/>
      <c r="J8" s="87"/>
      <c r="K8" s="87"/>
      <c r="L8" s="87"/>
      <c r="M8" s="87" t="s">
        <v>329</v>
      </c>
      <c r="N8" s="87"/>
      <c r="O8" s="96" t="s">
        <v>329</v>
      </c>
      <c r="P8" s="87"/>
      <c r="Q8" s="87"/>
      <c r="R8" s="87"/>
      <c r="S8" s="87"/>
    </row>
    <row r="9" spans="1:19" ht="9.75" customHeight="1" thickBot="1" x14ac:dyDescent="0.3">
      <c r="A9" s="87"/>
      <c r="B9" s="87"/>
      <c r="C9" s="87"/>
      <c r="D9" s="87"/>
      <c r="E9" s="87"/>
      <c r="F9" s="87"/>
      <c r="G9" s="87"/>
      <c r="H9" s="87"/>
      <c r="I9" s="87"/>
      <c r="J9" s="87"/>
      <c r="K9" s="87"/>
      <c r="L9" s="87"/>
      <c r="M9" s="87"/>
      <c r="N9" s="87"/>
      <c r="O9" s="87"/>
      <c r="P9" s="87"/>
      <c r="Q9" s="87"/>
      <c r="R9" s="87"/>
      <c r="S9" s="87"/>
    </row>
    <row r="10" spans="1:19" ht="14.4" thickTop="1" thickBot="1" x14ac:dyDescent="0.3">
      <c r="A10" s="97" t="s">
        <v>2</v>
      </c>
      <c r="B10" s="98"/>
      <c r="C10" s="99"/>
      <c r="D10" s="100"/>
      <c r="E10" s="100"/>
      <c r="F10" s="100"/>
      <c r="G10" s="100"/>
      <c r="H10" s="100"/>
      <c r="I10" s="100"/>
      <c r="J10" s="100"/>
      <c r="K10" s="100"/>
      <c r="L10" s="100"/>
      <c r="M10" s="100"/>
      <c r="N10" s="100"/>
      <c r="O10" s="100"/>
      <c r="P10" s="100"/>
      <c r="Q10" s="100"/>
      <c r="R10" s="100"/>
      <c r="S10" s="101"/>
    </row>
    <row r="11" spans="1:19" x14ac:dyDescent="0.25">
      <c r="A11" s="102"/>
      <c r="B11" s="103"/>
      <c r="C11" s="103"/>
      <c r="D11" s="104" t="s">
        <v>87</v>
      </c>
      <c r="E11" s="104" t="s">
        <v>88</v>
      </c>
      <c r="F11" s="104" t="s">
        <v>89</v>
      </c>
      <c r="G11" s="104" t="s">
        <v>15</v>
      </c>
      <c r="H11" s="104" t="s">
        <v>16</v>
      </c>
      <c r="I11" s="104" t="s">
        <v>17</v>
      </c>
      <c r="J11" s="104" t="s">
        <v>33</v>
      </c>
      <c r="K11" s="104" t="s">
        <v>34</v>
      </c>
      <c r="L11" s="104" t="s">
        <v>35</v>
      </c>
      <c r="M11" s="104" t="s">
        <v>36</v>
      </c>
      <c r="N11" s="104" t="s">
        <v>37</v>
      </c>
      <c r="O11" s="104" t="s">
        <v>38</v>
      </c>
      <c r="P11" s="104" t="s">
        <v>448</v>
      </c>
      <c r="Q11" s="104" t="s">
        <v>449</v>
      </c>
      <c r="R11" s="104" t="s">
        <v>547</v>
      </c>
      <c r="S11" s="105" t="s">
        <v>548</v>
      </c>
    </row>
    <row r="12" spans="1:19" ht="30" customHeight="1" x14ac:dyDescent="0.25">
      <c r="A12" s="132" t="str">
        <f>VLOOKUP(S6,'Code Sheet'!A1:G34,3,TRUE)</f>
        <v xml:space="preserve">$ Total revenue </v>
      </c>
      <c r="B12" s="133"/>
      <c r="C12" s="133"/>
      <c r="D12" s="115">
        <f>VLOOKUP(S6,'SRT Data'!A:EZ,3,TRUE)</f>
        <v>0</v>
      </c>
      <c r="E12" s="115">
        <f>VLOOKUP(S6,'SRT Data'!A:EZ,16,TRUE)</f>
        <v>0</v>
      </c>
      <c r="F12" s="115">
        <f>VLOOKUP(S6,'SRT Data'!A:EZ,29,TRUE)</f>
        <v>0</v>
      </c>
      <c r="G12" s="115">
        <f>VLOOKUP(S6,'SRT Data'!A:FA,42,TRUE)</f>
        <v>0</v>
      </c>
      <c r="H12" s="115">
        <f>VLOOKUP(S6,'SRT Data'!A:FA,55,TRUE)</f>
        <v>0</v>
      </c>
      <c r="I12" s="115">
        <f>VLOOKUP(S6,'SRT Data'!A:FA,68,TRUE)</f>
        <v>0</v>
      </c>
      <c r="J12" s="115">
        <f>VLOOKUP(S6,'SRT Data'!A:FA,81,TRUE)</f>
        <v>0</v>
      </c>
      <c r="K12" s="115">
        <f>VLOOKUP(S6,'SRT Data'!A:FA,94,TRUE)</f>
        <v>0</v>
      </c>
      <c r="L12" s="115">
        <f>VLOOKUP(S6,'SRT Data'!A:FA,107,TRUE)</f>
        <v>0</v>
      </c>
      <c r="M12" s="115">
        <f>VLOOKUP(S6,'SRT Data'!A:FA,120,TRUE)</f>
        <v>0</v>
      </c>
      <c r="N12" s="115">
        <f>VLOOKUP(S6,'SRT Data'!A:FA,133,TRUE)</f>
        <v>0</v>
      </c>
      <c r="O12" s="115">
        <f>VLOOKUP(S6,'SRT Data'!A:FB,146,TRUE)</f>
        <v>0</v>
      </c>
      <c r="P12" s="116">
        <f>VLOOKUP(S6,'SRT Data'!A:FO,159,TRUE)</f>
        <v>65000</v>
      </c>
      <c r="Q12" s="122">
        <f>SUM(D12:O12)/P12</f>
        <v>0</v>
      </c>
      <c r="R12" s="116">
        <f>VLOOKUP(S6,'SRT Data'!A:GC,173,TRUE)</f>
        <v>83810</v>
      </c>
      <c r="S12" s="117">
        <f>SUM(D12:O12)/R12</f>
        <v>0</v>
      </c>
    </row>
    <row r="13" spans="1:19" ht="30" customHeight="1" x14ac:dyDescent="0.25">
      <c r="A13" s="128" t="str">
        <f>VLOOKUP(S6,'Code Sheet'!A1:G34,4,TRUE)</f>
        <v xml:space="preserve"># Paid events </v>
      </c>
      <c r="B13" s="129"/>
      <c r="C13" s="129"/>
      <c r="D13" s="106">
        <f>VLOOKUP(S6,'SRT Data'!A:EZ,4,TRUE)</f>
        <v>0</v>
      </c>
      <c r="E13" s="106">
        <f>VLOOKUP(S6,'SRT Data'!A:EZ,17,TRUE)</f>
        <v>0</v>
      </c>
      <c r="F13" s="106">
        <f>VLOOKUP(S6,'SRT Data'!A:EZ,30,TRUE)</f>
        <v>0</v>
      </c>
      <c r="G13" s="106">
        <f>VLOOKUP(S6,'SRT Data'!A:FA,43,TRUE)</f>
        <v>0</v>
      </c>
      <c r="H13" s="106">
        <f>VLOOKUP(S6,'SRT Data'!A:FA,56,TRUE)</f>
        <v>0</v>
      </c>
      <c r="I13" s="106">
        <f>VLOOKUP(S6,'SRT Data'!A:FA,69,TRUE)</f>
        <v>0</v>
      </c>
      <c r="J13" s="106">
        <f>VLOOKUP(S6,'SRT Data'!A:FA,82,TRUE)</f>
        <v>0</v>
      </c>
      <c r="K13" s="106">
        <f>VLOOKUP(S6,'SRT Data'!A:FA,95,TRUE)</f>
        <v>0</v>
      </c>
      <c r="L13" s="106">
        <f>VLOOKUP(S6,'SRT Data'!A:FA,108,TRUE)</f>
        <v>0</v>
      </c>
      <c r="M13" s="106">
        <f>VLOOKUP(S6,'SRT Data'!A:FA,121,TRUE)</f>
        <v>0</v>
      </c>
      <c r="N13" s="106">
        <f>VLOOKUP(S6,'SRT Data'!A:FA,134,TRUE)</f>
        <v>0</v>
      </c>
      <c r="O13" s="106">
        <f>VLOOKUP(S6,'SRT Data'!A:FA,147,TRUE)</f>
        <v>0</v>
      </c>
      <c r="P13" s="107">
        <f>VLOOKUP(S6,'SRT Data'!A:FO,160,TRUE)</f>
        <v>75</v>
      </c>
      <c r="Q13" s="127">
        <f t="shared" ref="Q13:Q24" si="0">SUM(D13:O13)/P13</f>
        <v>0</v>
      </c>
      <c r="R13" s="107">
        <f>VLOOKUP(S6,'SRT Data'!A:GC,174,TRUE)</f>
        <v>77</v>
      </c>
      <c r="S13" s="108">
        <f t="shared" ref="S13:S24" si="1">SUM(D13:O13)/R13</f>
        <v>0</v>
      </c>
    </row>
    <row r="14" spans="1:19" ht="30" customHeight="1" x14ac:dyDescent="0.25">
      <c r="A14" s="132" t="str">
        <f>VLOOKUP(S6,'Code Sheet'!A1:G34,5,TRUE)</f>
        <v># Free events</v>
      </c>
      <c r="B14" s="133"/>
      <c r="C14" s="133"/>
      <c r="D14" s="115">
        <f>VLOOKUP(S6,'SRT Data'!A:EZ,5,TRUE)</f>
        <v>0</v>
      </c>
      <c r="E14" s="115">
        <f>VLOOKUP(S6,'SRT Data'!A:EZ,18,TRUE)</f>
        <v>0</v>
      </c>
      <c r="F14" s="115">
        <f>VLOOKUP(S6,'SRT Data'!A:EZ,31,TRUE)</f>
        <v>0</v>
      </c>
      <c r="G14" s="115">
        <f>VLOOKUP(S6,'SRT Data'!A:FA,44,TRUE)</f>
        <v>0</v>
      </c>
      <c r="H14" s="115">
        <f>VLOOKUP(S6,'SRT Data'!A:FA,57,TRUE)</f>
        <v>0</v>
      </c>
      <c r="I14" s="115">
        <f>VLOOKUP(S6,'SRT Data'!A:FA,70,TRUE)</f>
        <v>0</v>
      </c>
      <c r="J14" s="115">
        <f>VLOOKUP(S6,'SRT Data'!A:FA,83,TRUE)</f>
        <v>0</v>
      </c>
      <c r="K14" s="115">
        <f>VLOOKUP(S6,'SRT Data'!A:FA,96,TRUE)</f>
        <v>0</v>
      </c>
      <c r="L14" s="115">
        <f>VLOOKUP(S6,'SRT Data'!A:FA,109,TRUE)</f>
        <v>0</v>
      </c>
      <c r="M14" s="115">
        <f>VLOOKUP(S6,'SRT Data'!A:FA,122,TRUE)</f>
        <v>0</v>
      </c>
      <c r="N14" s="115">
        <f>VLOOKUP(S6,'SRT Data'!A:FA,135,TRUE)</f>
        <v>0</v>
      </c>
      <c r="O14" s="115">
        <f>VLOOKUP(S6,'SRT Data'!A:FA,148,TRUE)</f>
        <v>0</v>
      </c>
      <c r="P14" s="116">
        <f>VLOOKUP(S6,'SRT Data'!A:FO,161,TRUE)</f>
        <v>190</v>
      </c>
      <c r="Q14" s="122">
        <f t="shared" si="0"/>
        <v>0</v>
      </c>
      <c r="R14" s="125">
        <f>VLOOKUP(S6,'SRT Data'!A:GC,175,TRUE)</f>
        <v>206</v>
      </c>
      <c r="S14" s="117">
        <f t="shared" si="1"/>
        <v>0</v>
      </c>
    </row>
    <row r="15" spans="1:19" ht="30" customHeight="1" x14ac:dyDescent="0.25">
      <c r="A15" s="128" t="str">
        <f>VLOOKUP(S6,'Code Sheet'!A1:G34,6,TRUE)</f>
        <v xml:space="preserve"># Visitors </v>
      </c>
      <c r="B15" s="129"/>
      <c r="C15" s="129"/>
      <c r="D15" s="106">
        <f>VLOOKUP(S6,'SRT Data'!A:EZ,6,TRUE)</f>
        <v>0</v>
      </c>
      <c r="E15" s="106">
        <f>VLOOKUP(S6,'SRT Data'!A:EZ,19,TRUE)</f>
        <v>0</v>
      </c>
      <c r="F15" s="106">
        <f>VLOOKUP(S6,'SRT Data'!A:EZ,32,TRUE)</f>
        <v>0</v>
      </c>
      <c r="G15" s="106">
        <f>VLOOKUP(S6,'SRT Data'!A:FA,45,TRUE)</f>
        <v>0</v>
      </c>
      <c r="H15" s="106">
        <f>VLOOKUP(S6,'SRT Data'!A:FA,58,TRUE)</f>
        <v>0</v>
      </c>
      <c r="I15" s="106">
        <f>VLOOKUP(S6,'SRT Data'!A:FA,71,TRUE)</f>
        <v>0</v>
      </c>
      <c r="J15" s="106">
        <f>VLOOKUP(S6,'SRT Data'!A:FA,84,TRUE)</f>
        <v>0</v>
      </c>
      <c r="K15" s="106">
        <f>VLOOKUP(S6,'SRT Data'!A:FA,97,TRUE)</f>
        <v>0</v>
      </c>
      <c r="L15" s="106">
        <f>VLOOKUP(S6,'SRT Data'!A:FA,110,TRUE)</f>
        <v>0</v>
      </c>
      <c r="M15" s="106">
        <f>VLOOKUP(S6,'SRT Data'!A:FA,123,TRUE)</f>
        <v>0</v>
      </c>
      <c r="N15" s="106">
        <f>VLOOKUP(S6,'SRT Data'!A:FA,136,TRUE)</f>
        <v>0</v>
      </c>
      <c r="O15" s="106">
        <f>VLOOKUP(S6,'SRT Data'!A:FA,149,TRUE)</f>
        <v>0</v>
      </c>
      <c r="P15" s="107">
        <f>VLOOKUP(S6,'SRT Data'!A:FO,162,TRUE)</f>
        <v>55000</v>
      </c>
      <c r="Q15" s="127">
        <f t="shared" si="0"/>
        <v>0</v>
      </c>
      <c r="R15" s="107">
        <f>VLOOKUP(S6,'SRT Data'!A:GC,176,TRUE)</f>
        <v>63254</v>
      </c>
      <c r="S15" s="108">
        <f t="shared" si="1"/>
        <v>0</v>
      </c>
    </row>
    <row r="16" spans="1:19" ht="30" customHeight="1" x14ac:dyDescent="0.25">
      <c r="A16" s="132" t="str">
        <f>VLOOKUP(S6,'Code Sheet'!A1:G34,7,TRUE)</f>
        <v># Un-rentable days due to rehearsals</v>
      </c>
      <c r="B16" s="133"/>
      <c r="C16" s="133"/>
      <c r="D16" s="115">
        <f>VLOOKUP(S6,'SRT Data'!A:EZ,7,TRUE)</f>
        <v>0</v>
      </c>
      <c r="E16" s="115">
        <f>VLOOKUP(S6,'SRT Data'!A:EZ,20,TRUE)</f>
        <v>0</v>
      </c>
      <c r="F16" s="115">
        <f>VLOOKUP(S6,'SRT Data'!A:EZ,33,TRUE)</f>
        <v>0</v>
      </c>
      <c r="G16" s="115">
        <f>VLOOKUP(S6,'SRT Data'!A:FA,46,TRUE)</f>
        <v>0</v>
      </c>
      <c r="H16" s="115">
        <f>VLOOKUP(S6,'SRT Data'!A:FA,59,TRUE)</f>
        <v>0</v>
      </c>
      <c r="I16" s="115">
        <f>VLOOKUP(S6,'SRT Data'!A:FA,72,TRUE)</f>
        <v>0</v>
      </c>
      <c r="J16" s="115">
        <f>VLOOKUP(S6,'SRT Data'!A:FA,85,TRUE)</f>
        <v>0</v>
      </c>
      <c r="K16" s="115">
        <f>VLOOKUP(S6,'SRT Data'!A:FA,98,TRUE)</f>
        <v>0</v>
      </c>
      <c r="L16" s="115">
        <f>VLOOKUP(S6,'SRT Data'!A:FA,111,TRUE)</f>
        <v>0</v>
      </c>
      <c r="M16" s="115">
        <f>VLOOKUP(S6,'SRT Data'!A:FA,124,TRUE)</f>
        <v>0</v>
      </c>
      <c r="N16" s="115">
        <f>VLOOKUP(S6,'SRT Data'!A:FA,137,TRUE)</f>
        <v>0</v>
      </c>
      <c r="O16" s="115">
        <f>VLOOKUP(S6,'SRT Data'!A:FA,150,TRUE)</f>
        <v>0</v>
      </c>
      <c r="P16" s="116">
        <f>VLOOKUP(S6,'SRT Data'!A:FO,163,TRUE)</f>
        <v>75</v>
      </c>
      <c r="Q16" s="122">
        <f t="shared" si="0"/>
        <v>0</v>
      </c>
      <c r="R16" s="116">
        <f>VLOOKUP(S6,'SRT Data'!A:GC,177,TRUE)</f>
        <v>94</v>
      </c>
      <c r="S16" s="117">
        <f t="shared" si="1"/>
        <v>0</v>
      </c>
    </row>
    <row r="17" spans="1:19" ht="30" customHeight="1" x14ac:dyDescent="0.25">
      <c r="A17" s="128">
        <f>VLOOKUP(S6,'Code Sheet'!A1:L34,8,TRUE)</f>
        <v>0</v>
      </c>
      <c r="B17" s="129"/>
      <c r="C17" s="129"/>
      <c r="D17" s="106">
        <f>VLOOKUP(S6,'SRT Data'!A:EZ,8,TRUE)</f>
        <v>0</v>
      </c>
      <c r="E17" s="106">
        <f>VLOOKUP(S6,'SRT Data'!A:EZ,21,TRUE)</f>
        <v>0</v>
      </c>
      <c r="F17" s="106">
        <f>VLOOKUP(S6,'SRT Data'!A:EZ,34,TRUE)</f>
        <v>0</v>
      </c>
      <c r="G17" s="106">
        <f>VLOOKUP(S6,'SRT Data'!A:FA,47,TRUE)</f>
        <v>0</v>
      </c>
      <c r="H17" s="106">
        <f>VLOOKUP(S6,'SRT Data'!A:FA,60,TRUE)</f>
        <v>0</v>
      </c>
      <c r="I17" s="106">
        <f>VLOOKUP(S6,'SRT Data'!A:FA,73,TRUE)</f>
        <v>0</v>
      </c>
      <c r="J17" s="106">
        <f>VLOOKUP(S6,'SRT Data'!A:FA,86,TRUE)</f>
        <v>0</v>
      </c>
      <c r="K17" s="106">
        <f>VLOOKUP(S6,'SRT Data'!A:FA,99,TRUE)</f>
        <v>0</v>
      </c>
      <c r="L17" s="106">
        <f>VLOOKUP(S6,'SRT Data'!A:FA,112,TRUE)</f>
        <v>0</v>
      </c>
      <c r="M17" s="106">
        <f>VLOOKUP(S6,'SRT Data'!A:FA,125,TRUE)</f>
        <v>0</v>
      </c>
      <c r="N17" s="106">
        <f>VLOOKUP(S6,'SRT Data'!A:FA,138,TRUE)</f>
        <v>0</v>
      </c>
      <c r="O17" s="106">
        <f>VLOOKUP(S6,'SRT Data'!A:FA,151,TRUE)</f>
        <v>0</v>
      </c>
      <c r="P17" s="107">
        <f>VLOOKUP(S6,'SRT Data'!A:FO,164,TRUE)</f>
        <v>0</v>
      </c>
      <c r="Q17" s="127" t="e">
        <f t="shared" si="0"/>
        <v>#DIV/0!</v>
      </c>
      <c r="R17" s="107">
        <f>VLOOKUP(S6,'SRT Data'!A:GC,178,TRUE)</f>
        <v>0</v>
      </c>
      <c r="S17" s="108" t="e">
        <f t="shared" si="1"/>
        <v>#DIV/0!</v>
      </c>
    </row>
    <row r="18" spans="1:19" ht="30" customHeight="1" x14ac:dyDescent="0.25">
      <c r="A18" s="132">
        <f>VLOOKUP(S6,'Code Sheet'!A1:L34,9,TRUE)</f>
        <v>0</v>
      </c>
      <c r="B18" s="133"/>
      <c r="C18" s="133"/>
      <c r="D18" s="115">
        <f>VLOOKUP(S6,'SRT Data'!A:EZ,9,TRUE)</f>
        <v>0</v>
      </c>
      <c r="E18" s="115">
        <f>VLOOKUP(S6,'SRT Data'!A:EZ,22,TRUE)</f>
        <v>0</v>
      </c>
      <c r="F18" s="115">
        <f>VLOOKUP(S6,'SRT Data'!A:EZ,35,TRUE)</f>
        <v>0</v>
      </c>
      <c r="G18" s="115">
        <f>VLOOKUP(S6,'SRT Data'!A:FA,48,TRUE)</f>
        <v>0</v>
      </c>
      <c r="H18" s="115">
        <f>VLOOKUP(S6,'SRT Data'!A:FA,61,TRUE)</f>
        <v>0</v>
      </c>
      <c r="I18" s="115">
        <f>VLOOKUP(S6,'SRT Data'!A:FA,74,TRUE)</f>
        <v>0</v>
      </c>
      <c r="J18" s="115">
        <f>VLOOKUP(S6,'SRT Data'!A:FA,87,TRUE)</f>
        <v>0</v>
      </c>
      <c r="K18" s="115">
        <f>VLOOKUP(S6,'SRT Data'!A:FA,100,TRUE)</f>
        <v>0</v>
      </c>
      <c r="L18" s="115">
        <f>VLOOKUP(S6,'SRT Data'!A:FA,113,TRUE)</f>
        <v>0</v>
      </c>
      <c r="M18" s="115">
        <f>VLOOKUP(S6,'SRT Data'!A:FA,126,TRUE)</f>
        <v>0</v>
      </c>
      <c r="N18" s="115">
        <f>VLOOKUP(S6,'SRT Data'!A:FA,139,TRUE)</f>
        <v>0</v>
      </c>
      <c r="O18" s="115">
        <f>VLOOKUP(S6,'SRT Data'!A:FA,152,TRUE)</f>
        <v>0</v>
      </c>
      <c r="P18" s="116">
        <f>VLOOKUP(S6,'SRT Data'!A:FO,165,TRUE)</f>
        <v>0</v>
      </c>
      <c r="Q18" s="122" t="e">
        <f t="shared" si="0"/>
        <v>#DIV/0!</v>
      </c>
      <c r="R18" s="116">
        <f>VLOOKUP(S6,'SRT Data'!A:GC,179,TRUE)</f>
        <v>0</v>
      </c>
      <c r="S18" s="117" t="e">
        <f t="shared" si="1"/>
        <v>#DIV/0!</v>
      </c>
    </row>
    <row r="19" spans="1:19" ht="30" customHeight="1" x14ac:dyDescent="0.25">
      <c r="A19" s="128">
        <f>VLOOKUP(S6,'Code Sheet'!A1:L34,10,TRUE)</f>
        <v>0</v>
      </c>
      <c r="B19" s="129"/>
      <c r="C19" s="129"/>
      <c r="D19" s="106">
        <f>VLOOKUP(S6,'SRT Data'!A:EZ,10,TRUE)</f>
        <v>0</v>
      </c>
      <c r="E19" s="106">
        <f>VLOOKUP(S6,'SRT Data'!A:EZ,23,TRUE)</f>
        <v>0</v>
      </c>
      <c r="F19" s="106">
        <f>VLOOKUP(S6,'SRT Data'!A:EZ,36,TRUE)</f>
        <v>0</v>
      </c>
      <c r="G19" s="106">
        <f>VLOOKUP(S6,'SRT Data'!A:FA,49,TRUE)</f>
        <v>0</v>
      </c>
      <c r="H19" s="106">
        <f>VLOOKUP(S6,'SRT Data'!A:FA,62,TRUE)</f>
        <v>0</v>
      </c>
      <c r="I19" s="106">
        <f>VLOOKUP(S6,'SRT Data'!A:FA,75,TRUE)</f>
        <v>0</v>
      </c>
      <c r="J19" s="106">
        <f>VLOOKUP(S6,'SRT Data'!A:FA,88,TRUE)</f>
        <v>0</v>
      </c>
      <c r="K19" s="106">
        <f>VLOOKUP(S6,'SRT Data'!A:FA,101,TRUE)</f>
        <v>0</v>
      </c>
      <c r="L19" s="106">
        <f>VLOOKUP(S6,'SRT Data'!A:FA,114,TRUE)</f>
        <v>0</v>
      </c>
      <c r="M19" s="106">
        <f>VLOOKUP(S6,'SRT Data'!A:FA,127,TRUE)</f>
        <v>0</v>
      </c>
      <c r="N19" s="106">
        <f>VLOOKUP(S6,'SRT Data'!A:FA,140,TRUE)</f>
        <v>0</v>
      </c>
      <c r="O19" s="106">
        <f>VLOOKUP(S6,'SRT Data'!A:FA,153,TRUE)</f>
        <v>0</v>
      </c>
      <c r="P19" s="107">
        <f>VLOOKUP(S6,'SRT Data'!A:FO,166,TRUE)</f>
        <v>0</v>
      </c>
      <c r="Q19" s="127" t="e">
        <f t="shared" si="0"/>
        <v>#DIV/0!</v>
      </c>
      <c r="R19" s="107">
        <f>VLOOKUP(S6,'SRT Data'!A:GC,180,TRUE)</f>
        <v>0</v>
      </c>
      <c r="S19" s="108" t="e">
        <f t="shared" si="1"/>
        <v>#DIV/0!</v>
      </c>
    </row>
    <row r="20" spans="1:19" ht="30" customHeight="1" x14ac:dyDescent="0.25">
      <c r="A20" s="132">
        <f>VLOOKUP(S6,'Code Sheet'!A1:L34,11,TRUE)</f>
        <v>0</v>
      </c>
      <c r="B20" s="133"/>
      <c r="C20" s="133"/>
      <c r="D20" s="115">
        <f>VLOOKUP(S6,'SRT Data'!A:EZ,11,TRUE)</f>
        <v>0</v>
      </c>
      <c r="E20" s="115">
        <f>VLOOKUP(S6,'SRT Data'!A:EZ,24,TRUE)</f>
        <v>0</v>
      </c>
      <c r="F20" s="115">
        <f>VLOOKUP(S6,'SRT Data'!A:EZ,37,TRUE)</f>
        <v>0</v>
      </c>
      <c r="G20" s="115">
        <f>VLOOKUP(S6,'SRT Data'!A:FA,50,TRUE)</f>
        <v>0</v>
      </c>
      <c r="H20" s="115">
        <f>VLOOKUP(S6,'SRT Data'!A:FA,63,TRUE)</f>
        <v>0</v>
      </c>
      <c r="I20" s="115">
        <f>VLOOKUP(S6,'SRT Data'!A:FA,76,TRUE)</f>
        <v>0</v>
      </c>
      <c r="J20" s="115">
        <f>VLOOKUP(S6,'SRT Data'!A:FA,89,TRUE)</f>
        <v>0</v>
      </c>
      <c r="K20" s="115">
        <f>VLOOKUP(S6,'SRT Data'!A:FA,102,TRUE)</f>
        <v>0</v>
      </c>
      <c r="L20" s="115">
        <f>VLOOKUP(S6,'SRT Data'!A:FA,115,TRUE)</f>
        <v>0</v>
      </c>
      <c r="M20" s="115">
        <f>VLOOKUP(S6,'SRT Data'!A:FA,128,TRUE)</f>
        <v>0</v>
      </c>
      <c r="N20" s="115">
        <f>VLOOKUP(S6,'SRT Data'!A:FA,141,TRUE)</f>
        <v>0</v>
      </c>
      <c r="O20" s="115">
        <f>VLOOKUP(S6,'SRT Data'!A:FA,154,TRUE)</f>
        <v>0</v>
      </c>
      <c r="P20" s="116">
        <f>VLOOKUP(S6,'SRT Data'!A:FO,167,TRUE)</f>
        <v>0</v>
      </c>
      <c r="Q20" s="122" t="e">
        <f t="shared" si="0"/>
        <v>#DIV/0!</v>
      </c>
      <c r="R20" s="116">
        <f>VLOOKUP(S6,'SRT Data'!A:GC,181,TRUE)</f>
        <v>0</v>
      </c>
      <c r="S20" s="117" t="e">
        <f t="shared" si="1"/>
        <v>#DIV/0!</v>
      </c>
    </row>
    <row r="21" spans="1:19" ht="30" customHeight="1" x14ac:dyDescent="0.25">
      <c r="A21" s="128">
        <f>VLOOKUP(S6,'Code Sheet'!A1:L34,12,TRUE)</f>
        <v>0</v>
      </c>
      <c r="B21" s="129"/>
      <c r="C21" s="129"/>
      <c r="D21" s="106">
        <f>VLOOKUP(S6,'SRT Data'!A:EZ,12,TRUE)</f>
        <v>0</v>
      </c>
      <c r="E21" s="106">
        <f>VLOOKUP(S6,'SRT Data'!A:EZ,25,TRUE)</f>
        <v>0</v>
      </c>
      <c r="F21" s="106">
        <f>VLOOKUP(S6,'SRT Data'!A:EZ,38,TRUE)</f>
        <v>0</v>
      </c>
      <c r="G21" s="106">
        <f>VLOOKUP(S6,'SRT Data'!A:FA,51,TRUE)</f>
        <v>0</v>
      </c>
      <c r="H21" s="106">
        <f>VLOOKUP(S6,'SRT Data'!A:FA,64,TRUE)</f>
        <v>0</v>
      </c>
      <c r="I21" s="106">
        <f>VLOOKUP(S6,'SRT Data'!A:FA,77,TRUE)</f>
        <v>0</v>
      </c>
      <c r="J21" s="106">
        <f>VLOOKUP(S6,'SRT Data'!A:FA,90,TRUE)</f>
        <v>0</v>
      </c>
      <c r="K21" s="106">
        <f>VLOOKUP(S6,'SRT Data'!A:FA,103,TRUE)</f>
        <v>0</v>
      </c>
      <c r="L21" s="106">
        <f>VLOOKUP(S6,'SRT Data'!A:FA,116,TRUE)</f>
        <v>0</v>
      </c>
      <c r="M21" s="106">
        <f>VLOOKUP(S6,'SRT Data'!A:FA,129,TRUE)</f>
        <v>0</v>
      </c>
      <c r="N21" s="106">
        <f>VLOOKUP(S6,'SRT Data'!A:FA,142,TRUE)</f>
        <v>0</v>
      </c>
      <c r="O21" s="106">
        <f>VLOOKUP(S6,'SRT Data'!A:FA,155,TRUE)</f>
        <v>0</v>
      </c>
      <c r="P21" s="107">
        <f>VLOOKUP(S6,'SRT Data'!A:FO,168,TRUE)</f>
        <v>0</v>
      </c>
      <c r="Q21" s="127" t="e">
        <f t="shared" si="0"/>
        <v>#DIV/0!</v>
      </c>
      <c r="R21" s="107">
        <f>VLOOKUP(S6,'SRT Data'!A:GC,182,TRUE)</f>
        <v>0</v>
      </c>
      <c r="S21" s="108" t="e">
        <f t="shared" si="1"/>
        <v>#DIV/0!</v>
      </c>
    </row>
    <row r="22" spans="1:19" ht="30" customHeight="1" x14ac:dyDescent="0.25">
      <c r="A22" s="132">
        <f>VLOOKUP(S6,'Code Sheet'!A1:M35,13,TRUE)</f>
        <v>0</v>
      </c>
      <c r="B22" s="133"/>
      <c r="C22" s="133"/>
      <c r="D22" s="115">
        <f>VLOOKUP(S6,'SRT Data'!A:EZ,13,TRUE)</f>
        <v>0</v>
      </c>
      <c r="E22" s="115">
        <f>VLOOKUP(S6,'SRT Data'!A:EZ,26,TRUE)</f>
        <v>0</v>
      </c>
      <c r="F22" s="115">
        <f>VLOOKUP(S6,'SRT Data'!A:EZ,39,TRUE)</f>
        <v>0</v>
      </c>
      <c r="G22" s="115">
        <f>VLOOKUP(S6,'SRT Data'!A:FA,52,TRUE)</f>
        <v>0</v>
      </c>
      <c r="H22" s="115">
        <f>VLOOKUP(S6,'SRT Data'!A:FA,65,TRUE)</f>
        <v>0</v>
      </c>
      <c r="I22" s="115">
        <f>VLOOKUP(S6,'SRT Data'!A:FA,78,TRUE)</f>
        <v>0</v>
      </c>
      <c r="J22" s="115">
        <f>VLOOKUP(S6,'SRT Data'!A:FA,91,TRUE)</f>
        <v>0</v>
      </c>
      <c r="K22" s="115">
        <f>VLOOKUP(S6,'SRT Data'!A:FA,104,TRUE)</f>
        <v>0</v>
      </c>
      <c r="L22" s="115">
        <f>VLOOKUP(S6,'SRT Data'!A:FA,117,TRUE)</f>
        <v>0</v>
      </c>
      <c r="M22" s="115">
        <f>VLOOKUP(S6,'SRT Data'!A:FA,130,TRUE)</f>
        <v>0</v>
      </c>
      <c r="N22" s="115">
        <f>VLOOKUP(S6,'SRT Data'!A:FA,143,TRUE)</f>
        <v>0</v>
      </c>
      <c r="O22" s="115">
        <f>VLOOKUP(S6,'SRT Data'!A:FB,156,TRUE)</f>
        <v>0</v>
      </c>
      <c r="P22" s="116">
        <f>VLOOKUP(S6,'SRT Data'!A:FO,169,TRUE)</f>
        <v>0</v>
      </c>
      <c r="Q22" s="122" t="e">
        <f t="shared" si="0"/>
        <v>#DIV/0!</v>
      </c>
      <c r="R22" s="116">
        <f>VLOOKUP(S6,'SRT Data'!A:GC,183,TRUE)</f>
        <v>0</v>
      </c>
      <c r="S22" s="117" t="e">
        <f t="shared" si="1"/>
        <v>#DIV/0!</v>
      </c>
    </row>
    <row r="23" spans="1:19" ht="30" customHeight="1" x14ac:dyDescent="0.25">
      <c r="A23" s="128">
        <f>VLOOKUP(S6,'Code Sheet'!A1:O34,14,TRUE)</f>
        <v>0</v>
      </c>
      <c r="B23" s="129"/>
      <c r="C23" s="129"/>
      <c r="D23" s="106">
        <f>VLOOKUP(S6,'SRT Data'!A:EZ,14,TRUE)</f>
        <v>0</v>
      </c>
      <c r="E23" s="106">
        <f>VLOOKUP(S6,'SRT Data'!A:EZ,27,TRUE)</f>
        <v>0</v>
      </c>
      <c r="F23" s="106">
        <f>VLOOKUP(S6,'SRT Data'!A:EZ,40,TRUE)</f>
        <v>0</v>
      </c>
      <c r="G23" s="106">
        <f>VLOOKUP(S6,'SRT Data'!A:FA,53,TRUE)</f>
        <v>0</v>
      </c>
      <c r="H23" s="106">
        <f>VLOOKUP(S6,'SRT Data'!A:FA,66,TRUE)</f>
        <v>0</v>
      </c>
      <c r="I23" s="106">
        <f>VLOOKUP(S6,'SRT Data'!A:FA,79,TRUE)</f>
        <v>0</v>
      </c>
      <c r="J23" s="106">
        <f>VLOOKUP(S6,'SRT Data'!A:FA,92,TRUE)</f>
        <v>0</v>
      </c>
      <c r="K23" s="106">
        <f>VLOOKUP(S6,'SRT Data'!A:FA,105,TRUE)</f>
        <v>0</v>
      </c>
      <c r="L23" s="106">
        <f>VLOOKUP(S6,'SRT Data'!A:FA,118,TRUE)</f>
        <v>0</v>
      </c>
      <c r="M23" s="106">
        <f>VLOOKUP(S6,'SRT Data'!A:FA,131,TRUE)</f>
        <v>0</v>
      </c>
      <c r="N23" s="106">
        <f>VLOOKUP(S6,'SRT Data'!A:FA,144,TRUE)</f>
        <v>0</v>
      </c>
      <c r="O23" s="106">
        <f>VLOOKUP(S6,'SRT Data'!A:FB,157,TRUE)</f>
        <v>0</v>
      </c>
      <c r="P23" s="107">
        <f>VLOOKUP(S6,'SRT Data'!A:FO,170,TRUE)</f>
        <v>0</v>
      </c>
      <c r="Q23" s="127" t="e">
        <f t="shared" si="0"/>
        <v>#DIV/0!</v>
      </c>
      <c r="R23" s="107">
        <f>VLOOKUP(S6,'SRT Data'!A:GC,184,TRUE)</f>
        <v>0</v>
      </c>
      <c r="S23" s="108" t="e">
        <f t="shared" si="1"/>
        <v>#DIV/0!</v>
      </c>
    </row>
    <row r="24" spans="1:19" ht="30" customHeight="1" thickBot="1" x14ac:dyDescent="0.3">
      <c r="A24" s="130">
        <f>VLOOKUP(S6,'Code Sheet'!A1:O37,15,TRUE)</f>
        <v>0</v>
      </c>
      <c r="B24" s="131"/>
      <c r="C24" s="131"/>
      <c r="D24" s="118">
        <f>VLOOKUP(S6,'SRT Data'!A:EZ,15,TRUE)</f>
        <v>0</v>
      </c>
      <c r="E24" s="118">
        <f>VLOOKUP(S6,'SRT Data'!A:EZ,28,TRUE)</f>
        <v>0</v>
      </c>
      <c r="F24" s="118">
        <f>VLOOKUP(S6,'SRT Data'!A:EZ,41,TRUE)</f>
        <v>0</v>
      </c>
      <c r="G24" s="118">
        <f>VLOOKUP(S6,'SRT Data'!A:FA,54,TRUE)</f>
        <v>0</v>
      </c>
      <c r="H24" s="118">
        <f>VLOOKUP(S6,'SRT Data'!A:FA,67,TRUE)</f>
        <v>0</v>
      </c>
      <c r="I24" s="118">
        <f>VLOOKUP(S6,'SRT Data'!A:FA,80,TRUE)</f>
        <v>0</v>
      </c>
      <c r="J24" s="118">
        <f>VLOOKUP(S6,'SRT Data'!A:FA,93,TRUE)</f>
        <v>0</v>
      </c>
      <c r="K24" s="118">
        <f>VLOOKUP(S6,'SRT Data'!A:FA,106,TRUE)</f>
        <v>0</v>
      </c>
      <c r="L24" s="118">
        <f>VLOOKUP(S6,'SRT Data'!A:FA,119,TRUE)</f>
        <v>0</v>
      </c>
      <c r="M24" s="118">
        <f>VLOOKUP(S6,'SRT Data'!A:FA,132,TRUE)</f>
        <v>0</v>
      </c>
      <c r="N24" s="118">
        <f>VLOOKUP(S6,'SRT Data'!A:FA,145,TRUE)</f>
        <v>0</v>
      </c>
      <c r="O24" s="118">
        <f>VLOOKUP(S6,'SRT Data'!A:FB,158,TRUE)</f>
        <v>0</v>
      </c>
      <c r="P24" s="119">
        <f>VLOOKUP(S6,'SRT Data'!A:FO,171,TRUE)</f>
        <v>0</v>
      </c>
      <c r="Q24" s="123" t="e">
        <f t="shared" si="0"/>
        <v>#DIV/0!</v>
      </c>
      <c r="R24" s="126">
        <f>VLOOKUP(S6,'SRT Data'!A:GC,185,TRUE)</f>
        <v>0</v>
      </c>
      <c r="S24" s="120" t="e">
        <f t="shared" si="1"/>
        <v>#DIV/0!</v>
      </c>
    </row>
    <row r="25" spans="1:19"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3300" topLeftCell="FB1" activePane="topRight"/>
      <selection activeCell="A15" sqref="A15:XFD15"/>
      <selection pane="topRight" activeCell="FW15" sqref="FW15"/>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 min="172" max="172" width="8.88671875" style="7"/>
  </cols>
  <sheetData>
    <row r="1" spans="1:185" x14ac:dyDescent="0.25">
      <c r="A1" s="9" t="s">
        <v>3</v>
      </c>
      <c r="B1" s="9" t="s">
        <v>1</v>
      </c>
      <c r="C1" s="9" t="s">
        <v>90</v>
      </c>
      <c r="D1" s="9" t="s">
        <v>91</v>
      </c>
      <c r="E1" s="9" t="s">
        <v>92</v>
      </c>
      <c r="F1" s="9" t="s">
        <v>93</v>
      </c>
      <c r="G1" s="9" t="s">
        <v>94</v>
      </c>
      <c r="H1" s="9" t="s">
        <v>95</v>
      </c>
      <c r="I1" s="9" t="s">
        <v>96</v>
      </c>
      <c r="J1" s="9" t="s">
        <v>97</v>
      </c>
      <c r="K1" s="9" t="s">
        <v>98</v>
      </c>
      <c r="L1" s="9" t="s">
        <v>99</v>
      </c>
      <c r="M1" s="9" t="s">
        <v>282</v>
      </c>
      <c r="N1" s="9" t="s">
        <v>283</v>
      </c>
      <c r="O1" s="9" t="s">
        <v>284</v>
      </c>
      <c r="P1" s="9" t="s">
        <v>102</v>
      </c>
      <c r="Q1" s="9" t="s">
        <v>103</v>
      </c>
      <c r="R1" s="9" t="s">
        <v>104</v>
      </c>
      <c r="S1" s="9" t="s">
        <v>105</v>
      </c>
      <c r="T1" s="9" t="s">
        <v>106</v>
      </c>
      <c r="U1" s="9" t="s">
        <v>107</v>
      </c>
      <c r="V1" s="9" t="s">
        <v>108</v>
      </c>
      <c r="W1" s="9" t="s">
        <v>109</v>
      </c>
      <c r="X1" s="9" t="s">
        <v>110</v>
      </c>
      <c r="Y1" s="9" t="s">
        <v>111</v>
      </c>
      <c r="Z1" s="9" t="s">
        <v>285</v>
      </c>
      <c r="AA1" s="9" t="s">
        <v>286</v>
      </c>
      <c r="AB1" s="9" t="s">
        <v>287</v>
      </c>
      <c r="AC1" s="9" t="s">
        <v>112</v>
      </c>
      <c r="AD1" s="9" t="s">
        <v>113</v>
      </c>
      <c r="AE1" s="9" t="s">
        <v>114</v>
      </c>
      <c r="AF1" s="9" t="s">
        <v>115</v>
      </c>
      <c r="AG1" s="9" t="s">
        <v>116</v>
      </c>
      <c r="AH1" s="9" t="s">
        <v>117</v>
      </c>
      <c r="AI1" s="9" t="s">
        <v>118</v>
      </c>
      <c r="AJ1" s="9" t="s">
        <v>119</v>
      </c>
      <c r="AK1" s="9" t="s">
        <v>120</v>
      </c>
      <c r="AL1" s="9" t="s">
        <v>121</v>
      </c>
      <c r="AM1" s="9" t="s">
        <v>288</v>
      </c>
      <c r="AN1" s="9" t="s">
        <v>289</v>
      </c>
      <c r="AO1" s="9" t="s">
        <v>290</v>
      </c>
      <c r="AP1" s="9" t="s">
        <v>127</v>
      </c>
      <c r="AQ1" s="9" t="s">
        <v>128</v>
      </c>
      <c r="AR1" s="9" t="s">
        <v>129</v>
      </c>
      <c r="AS1" s="9" t="s">
        <v>130</v>
      </c>
      <c r="AT1" s="9" t="s">
        <v>131</v>
      </c>
      <c r="AU1" s="9" t="s">
        <v>132</v>
      </c>
      <c r="AV1" s="9" t="s">
        <v>133</v>
      </c>
      <c r="AW1" s="9" t="s">
        <v>134</v>
      </c>
      <c r="AX1" s="9" t="s">
        <v>135</v>
      </c>
      <c r="AY1" s="9" t="s">
        <v>136</v>
      </c>
      <c r="AZ1" s="9" t="s">
        <v>291</v>
      </c>
      <c r="BA1" s="9" t="s">
        <v>292</v>
      </c>
      <c r="BB1" s="9" t="s">
        <v>293</v>
      </c>
      <c r="BC1" s="9" t="s">
        <v>137</v>
      </c>
      <c r="BD1" s="9" t="s">
        <v>138</v>
      </c>
      <c r="BE1" s="9" t="s">
        <v>139</v>
      </c>
      <c r="BF1" s="9" t="s">
        <v>140</v>
      </c>
      <c r="BG1" s="9" t="s">
        <v>141</v>
      </c>
      <c r="BH1" s="9" t="s">
        <v>142</v>
      </c>
      <c r="BI1" s="9" t="s">
        <v>143</v>
      </c>
      <c r="BJ1" s="9" t="s">
        <v>144</v>
      </c>
      <c r="BK1" s="9" t="s">
        <v>145</v>
      </c>
      <c r="BL1" s="9" t="s">
        <v>146</v>
      </c>
      <c r="BM1" s="9" t="s">
        <v>294</v>
      </c>
      <c r="BN1" s="9" t="s">
        <v>295</v>
      </c>
      <c r="BO1" s="9" t="s">
        <v>296</v>
      </c>
      <c r="BP1" s="9" t="s">
        <v>147</v>
      </c>
      <c r="BQ1" s="9" t="s">
        <v>148</v>
      </c>
      <c r="BR1" s="9" t="s">
        <v>149</v>
      </c>
      <c r="BS1" s="9" t="s">
        <v>150</v>
      </c>
      <c r="BT1" s="9" t="s">
        <v>151</v>
      </c>
      <c r="BU1" s="9" t="s">
        <v>152</v>
      </c>
      <c r="BV1" s="9" t="s">
        <v>153</v>
      </c>
      <c r="BW1" s="9" t="s">
        <v>154</v>
      </c>
      <c r="BX1" s="9" t="s">
        <v>155</v>
      </c>
      <c r="BY1" s="9" t="s">
        <v>156</v>
      </c>
      <c r="BZ1" s="9" t="s">
        <v>297</v>
      </c>
      <c r="CA1" s="9" t="s">
        <v>298</v>
      </c>
      <c r="CB1" s="9" t="s">
        <v>299</v>
      </c>
      <c r="CC1" s="9" t="s">
        <v>157</v>
      </c>
      <c r="CD1" s="9" t="s">
        <v>158</v>
      </c>
      <c r="CE1" s="9" t="s">
        <v>159</v>
      </c>
      <c r="CF1" s="9" t="s">
        <v>160</v>
      </c>
      <c r="CG1" s="9" t="s">
        <v>161</v>
      </c>
      <c r="CH1" s="9" t="s">
        <v>162</v>
      </c>
      <c r="CI1" s="9" t="s">
        <v>163</v>
      </c>
      <c r="CJ1" s="9" t="s">
        <v>164</v>
      </c>
      <c r="CK1" s="9" t="s">
        <v>165</v>
      </c>
      <c r="CL1" s="9" t="s">
        <v>166</v>
      </c>
      <c r="CM1" s="9" t="s">
        <v>300</v>
      </c>
      <c r="CN1" s="9" t="s">
        <v>301</v>
      </c>
      <c r="CO1" s="9" t="s">
        <v>302</v>
      </c>
      <c r="CP1" s="9" t="s">
        <v>167</v>
      </c>
      <c r="CQ1" s="9" t="s">
        <v>168</v>
      </c>
      <c r="CR1" s="9" t="s">
        <v>169</v>
      </c>
      <c r="CS1" s="9" t="s">
        <v>170</v>
      </c>
      <c r="CT1" s="9" t="s">
        <v>171</v>
      </c>
      <c r="CU1" s="9" t="s">
        <v>172</v>
      </c>
      <c r="CV1" s="9" t="s">
        <v>173</v>
      </c>
      <c r="CW1" s="9" t="s">
        <v>174</v>
      </c>
      <c r="CX1" s="9" t="s">
        <v>175</v>
      </c>
      <c r="CY1" s="9" t="s">
        <v>176</v>
      </c>
      <c r="CZ1" s="9" t="s">
        <v>303</v>
      </c>
      <c r="DA1" s="9" t="s">
        <v>304</v>
      </c>
      <c r="DB1" s="9" t="s">
        <v>305</v>
      </c>
      <c r="DC1" s="9" t="s">
        <v>177</v>
      </c>
      <c r="DD1" s="9" t="s">
        <v>178</v>
      </c>
      <c r="DE1" s="9" t="s">
        <v>179</v>
      </c>
      <c r="DF1" s="9" t="s">
        <v>180</v>
      </c>
      <c r="DG1" s="9" t="s">
        <v>181</v>
      </c>
      <c r="DH1" s="9" t="s">
        <v>182</v>
      </c>
      <c r="DI1" s="9" t="s">
        <v>183</v>
      </c>
      <c r="DJ1" s="9" t="s">
        <v>184</v>
      </c>
      <c r="DK1" s="9" t="s">
        <v>185</v>
      </c>
      <c r="DL1" s="9" t="s">
        <v>186</v>
      </c>
      <c r="DM1" s="9" t="s">
        <v>306</v>
      </c>
      <c r="DN1" s="9" t="s">
        <v>307</v>
      </c>
      <c r="DO1" s="9" t="s">
        <v>308</v>
      </c>
      <c r="DP1" s="9" t="s">
        <v>190</v>
      </c>
      <c r="DQ1" s="9" t="s">
        <v>191</v>
      </c>
      <c r="DR1" s="9" t="s">
        <v>192</v>
      </c>
      <c r="DS1" s="9" t="s">
        <v>193</v>
      </c>
      <c r="DT1" s="9" t="s">
        <v>194</v>
      </c>
      <c r="DU1" s="9" t="s">
        <v>195</v>
      </c>
      <c r="DV1" s="9" t="s">
        <v>196</v>
      </c>
      <c r="DW1" s="9" t="s">
        <v>197</v>
      </c>
      <c r="DX1" s="9" t="s">
        <v>198</v>
      </c>
      <c r="DY1" s="9" t="s">
        <v>199</v>
      </c>
      <c r="DZ1" s="9" t="s">
        <v>309</v>
      </c>
      <c r="EA1" s="9" t="s">
        <v>310</v>
      </c>
      <c r="EB1" s="9" t="s">
        <v>311</v>
      </c>
      <c r="EC1" s="9" t="s">
        <v>200</v>
      </c>
      <c r="ED1" s="9" t="s">
        <v>201</v>
      </c>
      <c r="EE1" s="9" t="s">
        <v>202</v>
      </c>
      <c r="EF1" s="9" t="s">
        <v>203</v>
      </c>
      <c r="EG1" s="9" t="s">
        <v>204</v>
      </c>
      <c r="EH1" s="9" t="s">
        <v>205</v>
      </c>
      <c r="EI1" s="9" t="s">
        <v>206</v>
      </c>
      <c r="EJ1" s="9" t="s">
        <v>207</v>
      </c>
      <c r="EK1" s="9" t="s">
        <v>208</v>
      </c>
      <c r="EL1" s="9" t="s">
        <v>209</v>
      </c>
      <c r="EM1" s="9" t="s">
        <v>312</v>
      </c>
      <c r="EN1" s="9" t="s">
        <v>313</v>
      </c>
      <c r="EO1" s="9" t="s">
        <v>314</v>
      </c>
      <c r="EP1" s="9" t="s">
        <v>210</v>
      </c>
      <c r="EQ1" s="9" t="s">
        <v>211</v>
      </c>
      <c r="ER1" s="9" t="s">
        <v>212</v>
      </c>
      <c r="ES1" s="9" t="s">
        <v>213</v>
      </c>
      <c r="ET1" s="9" t="s">
        <v>214</v>
      </c>
      <c r="EU1" s="9" t="s">
        <v>215</v>
      </c>
      <c r="EV1" s="9" t="s">
        <v>216</v>
      </c>
      <c r="EW1" s="9" t="s">
        <v>217</v>
      </c>
      <c r="EX1" s="9" t="s">
        <v>218</v>
      </c>
      <c r="EY1" s="9" t="s">
        <v>219</v>
      </c>
      <c r="EZ1" s="9" t="s">
        <v>315</v>
      </c>
      <c r="FA1" s="9" t="s">
        <v>316</v>
      </c>
      <c r="FB1" s="9" t="s">
        <v>317</v>
      </c>
      <c r="FC1" s="9" t="s">
        <v>410</v>
      </c>
      <c r="FD1" s="9" t="s">
        <v>411</v>
      </c>
      <c r="FE1" s="9" t="s">
        <v>412</v>
      </c>
      <c r="FF1" s="9" t="s">
        <v>413</v>
      </c>
      <c r="FG1" s="9" t="s">
        <v>414</v>
      </c>
      <c r="FH1" s="9" t="s">
        <v>415</v>
      </c>
      <c r="FI1" s="9" t="s">
        <v>416</v>
      </c>
      <c r="FJ1" s="9" t="s">
        <v>417</v>
      </c>
      <c r="FK1" s="9" t="s">
        <v>418</v>
      </c>
      <c r="FL1" s="9" t="s">
        <v>419</v>
      </c>
      <c r="FM1" s="9" t="s">
        <v>420</v>
      </c>
      <c r="FN1" s="9" t="s">
        <v>421</v>
      </c>
      <c r="FO1" s="9" t="s">
        <v>422</v>
      </c>
      <c r="FP1" s="121"/>
      <c r="FQ1" s="17" t="s">
        <v>549</v>
      </c>
      <c r="FR1" s="17" t="s">
        <v>550</v>
      </c>
      <c r="FS1" s="17" t="s">
        <v>551</v>
      </c>
      <c r="FT1" s="17" t="s">
        <v>552</v>
      </c>
      <c r="FU1" s="17" t="s">
        <v>553</v>
      </c>
      <c r="FV1" s="17" t="s">
        <v>554</v>
      </c>
      <c r="FW1" s="17" t="s">
        <v>555</v>
      </c>
      <c r="FX1" s="17" t="s">
        <v>556</v>
      </c>
      <c r="FY1" s="17" t="s">
        <v>557</v>
      </c>
      <c r="FZ1" s="17" t="s">
        <v>558</v>
      </c>
      <c r="GA1" s="17" t="s">
        <v>559</v>
      </c>
      <c r="GB1" s="17" t="s">
        <v>560</v>
      </c>
      <c r="GC1" s="17" t="s">
        <v>561</v>
      </c>
    </row>
    <row r="2" spans="1:185" x14ac:dyDescent="0.25">
      <c r="A2" s="25">
        <v>1</v>
      </c>
      <c r="B2" s="26" t="s">
        <v>221</v>
      </c>
      <c r="C2" s="16"/>
      <c r="D2" s="16"/>
      <c r="E2" s="16"/>
      <c r="F2" s="16"/>
      <c r="G2" s="16"/>
      <c r="H2" s="16"/>
      <c r="I2" s="16"/>
      <c r="J2" s="11"/>
      <c r="K2" s="11"/>
      <c r="L2" s="9"/>
      <c r="M2" s="9"/>
      <c r="N2" s="9"/>
      <c r="O2" s="9"/>
      <c r="P2" s="16"/>
      <c r="Q2" s="16"/>
      <c r="R2" s="16"/>
      <c r="S2" s="16"/>
      <c r="T2" s="16"/>
      <c r="U2" s="17"/>
      <c r="V2" s="17"/>
      <c r="W2" s="17"/>
      <c r="X2" s="17"/>
      <c r="Y2" s="17"/>
      <c r="Z2" s="17"/>
      <c r="AA2" s="17"/>
      <c r="AB2" s="17"/>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1"/>
      <c r="CW2" s="11"/>
      <c r="CX2" s="11"/>
      <c r="CY2" s="11"/>
      <c r="CZ2" s="11"/>
      <c r="DA2" s="11"/>
      <c r="DB2" s="11"/>
      <c r="DC2" s="16"/>
      <c r="DD2" s="16"/>
      <c r="DE2" s="16"/>
      <c r="DF2" s="16"/>
      <c r="DG2" s="16"/>
      <c r="DH2" s="16"/>
      <c r="DI2" s="16"/>
      <c r="DJ2" s="16"/>
      <c r="DK2" s="16"/>
      <c r="DL2" s="16"/>
      <c r="DM2" s="16"/>
      <c r="DN2" s="11"/>
      <c r="DO2" s="11"/>
      <c r="DP2" s="16"/>
      <c r="DQ2" s="16"/>
      <c r="DR2" s="16"/>
      <c r="DS2" s="16"/>
      <c r="DT2" s="16"/>
      <c r="DU2" s="16"/>
      <c r="DV2" s="16"/>
      <c r="DW2" s="16"/>
      <c r="DX2" s="16"/>
      <c r="DY2" s="16"/>
      <c r="DZ2" s="16"/>
      <c r="EA2" s="16"/>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5">
        <v>65000</v>
      </c>
      <c r="FD2" s="55">
        <v>75</v>
      </c>
      <c r="FE2" s="55">
        <v>190</v>
      </c>
      <c r="FF2" s="55">
        <v>55000</v>
      </c>
      <c r="FG2" s="55">
        <v>75</v>
      </c>
      <c r="FH2" s="55"/>
      <c r="FI2" s="55"/>
      <c r="FJ2" s="55"/>
      <c r="FK2" s="55"/>
      <c r="FL2" s="55"/>
      <c r="FM2" s="55"/>
      <c r="FN2" s="55"/>
      <c r="FO2" s="55"/>
      <c r="FQ2" s="124">
        <v>83810</v>
      </c>
      <c r="FR2" s="124">
        <v>77</v>
      </c>
      <c r="FS2" s="124">
        <v>206</v>
      </c>
      <c r="FT2" s="124">
        <v>63254</v>
      </c>
      <c r="FU2" s="124">
        <v>94</v>
      </c>
      <c r="FV2" s="124"/>
      <c r="FW2" s="124"/>
      <c r="FX2" s="124"/>
      <c r="FY2" s="124"/>
      <c r="FZ2" s="124"/>
      <c r="GA2" s="124"/>
      <c r="GB2" s="124"/>
      <c r="GC2" s="124"/>
    </row>
    <row r="3" spans="1:185" x14ac:dyDescent="0.25">
      <c r="A3" s="29">
        <v>2</v>
      </c>
      <c r="B3" s="27" t="s">
        <v>4</v>
      </c>
      <c r="C3" s="16"/>
      <c r="D3" s="16"/>
      <c r="E3" s="16"/>
      <c r="F3" s="16"/>
      <c r="G3" s="16"/>
      <c r="H3" s="16"/>
      <c r="I3" s="16"/>
      <c r="J3" s="16"/>
      <c r="K3" s="11"/>
      <c r="L3" s="11"/>
      <c r="M3" s="11"/>
      <c r="N3" s="11"/>
      <c r="O3" s="1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1"/>
      <c r="CY3" s="11"/>
      <c r="CZ3" s="11"/>
      <c r="DA3" s="11"/>
      <c r="DB3" s="11"/>
      <c r="DC3" s="10"/>
      <c r="DD3" s="10"/>
      <c r="DE3" s="10"/>
      <c r="DF3" s="10"/>
      <c r="DG3" s="10"/>
      <c r="DH3" s="10"/>
      <c r="DI3" s="10"/>
      <c r="DJ3" s="10"/>
      <c r="DK3" s="11"/>
      <c r="DL3" s="11"/>
      <c r="DM3" s="11"/>
      <c r="DN3" s="11"/>
      <c r="DO3" s="11"/>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5">
        <v>15000</v>
      </c>
      <c r="FD3" s="55">
        <v>37000</v>
      </c>
      <c r="FE3" s="55">
        <v>65000</v>
      </c>
      <c r="FF3" s="55">
        <v>30</v>
      </c>
      <c r="FG3" s="55">
        <v>63000</v>
      </c>
      <c r="FH3" s="55">
        <v>8</v>
      </c>
      <c r="FI3" s="55">
        <v>2000</v>
      </c>
      <c r="FJ3" s="55">
        <v>13500</v>
      </c>
      <c r="FK3" s="55"/>
      <c r="FL3" s="55"/>
      <c r="FM3" s="55"/>
      <c r="FN3" s="55"/>
      <c r="FO3" s="55"/>
      <c r="FQ3" s="124">
        <v>13870</v>
      </c>
      <c r="FR3" s="124">
        <v>36636</v>
      </c>
      <c r="FS3" s="124">
        <v>59117</v>
      </c>
      <c r="FT3" s="124">
        <v>30</v>
      </c>
      <c r="FU3" s="124">
        <v>62888</v>
      </c>
      <c r="FV3" s="124">
        <v>6</v>
      </c>
      <c r="FW3" s="124">
        <v>2538</v>
      </c>
      <c r="FX3" s="124">
        <v>15940</v>
      </c>
      <c r="FY3" s="124"/>
      <c r="FZ3" s="124"/>
      <c r="GA3" s="124"/>
      <c r="GB3" s="124"/>
      <c r="GC3" s="124"/>
    </row>
    <row r="4" spans="1:185" x14ac:dyDescent="0.25">
      <c r="A4" s="29">
        <v>3</v>
      </c>
      <c r="B4" s="27" t="s">
        <v>235</v>
      </c>
      <c r="C4" s="16"/>
      <c r="D4" s="16"/>
      <c r="E4" s="16"/>
      <c r="F4" s="16"/>
      <c r="G4" s="16"/>
      <c r="H4" s="16"/>
      <c r="I4" s="16"/>
      <c r="J4" s="16"/>
      <c r="K4" s="11"/>
      <c r="L4" s="9"/>
      <c r="M4" s="9"/>
      <c r="N4" s="9"/>
      <c r="O4" s="9"/>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1"/>
      <c r="CY4" s="11"/>
      <c r="CZ4" s="11"/>
      <c r="DA4" s="11"/>
      <c r="DB4" s="11"/>
      <c r="DC4" s="16"/>
      <c r="DD4" s="16"/>
      <c r="DE4" s="16"/>
      <c r="DF4" s="16"/>
      <c r="DG4" s="16"/>
      <c r="DH4" s="16"/>
      <c r="DI4" s="16"/>
      <c r="DJ4" s="16"/>
      <c r="DK4" s="16"/>
      <c r="DL4" s="16"/>
      <c r="DM4" s="11"/>
      <c r="DN4" s="11"/>
      <c r="DO4" s="11"/>
      <c r="DP4" s="16"/>
      <c r="DQ4" s="16"/>
      <c r="DR4" s="16"/>
      <c r="DS4" s="16"/>
      <c r="DT4" s="16"/>
      <c r="DU4" s="16"/>
      <c r="DV4" s="16"/>
      <c r="DW4" s="16"/>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5">
        <v>3000</v>
      </c>
      <c r="FD4" s="55">
        <v>12.5</v>
      </c>
      <c r="FE4" s="55">
        <v>1575</v>
      </c>
      <c r="FF4" s="55">
        <v>700</v>
      </c>
      <c r="FG4" s="55">
        <v>15</v>
      </c>
      <c r="FH4" s="55">
        <v>120</v>
      </c>
      <c r="FI4" s="55">
        <v>175</v>
      </c>
      <c r="FJ4" s="55">
        <v>350</v>
      </c>
      <c r="FK4" s="55"/>
      <c r="FL4" s="55"/>
      <c r="FM4" s="55"/>
      <c r="FN4" s="55"/>
      <c r="FO4" s="55"/>
      <c r="FQ4" s="124">
        <v>3076</v>
      </c>
      <c r="FR4" s="124">
        <v>12.45</v>
      </c>
      <c r="FS4" s="124">
        <v>1504</v>
      </c>
      <c r="FT4" s="124">
        <v>701</v>
      </c>
      <c r="FU4" s="124">
        <v>11</v>
      </c>
      <c r="FV4" s="124">
        <v>136</v>
      </c>
      <c r="FW4" s="124">
        <v>199</v>
      </c>
      <c r="FX4" s="124">
        <v>361</v>
      </c>
      <c r="FY4" s="124"/>
      <c r="FZ4" s="124"/>
      <c r="GA4" s="124"/>
      <c r="GB4" s="124"/>
      <c r="GC4" s="124"/>
    </row>
    <row r="5" spans="1:185" x14ac:dyDescent="0.25">
      <c r="A5" s="29">
        <v>4</v>
      </c>
      <c r="B5" s="27" t="s">
        <v>5</v>
      </c>
      <c r="C5" s="10"/>
      <c r="D5" s="10"/>
      <c r="E5" s="10"/>
      <c r="F5" s="10"/>
      <c r="G5" s="16"/>
      <c r="H5" s="16"/>
      <c r="I5" s="16"/>
      <c r="J5" s="16"/>
      <c r="K5" s="16"/>
      <c r="L5" s="10"/>
      <c r="M5" s="10"/>
      <c r="N5" s="10"/>
      <c r="O5" s="10"/>
      <c r="P5" s="10"/>
      <c r="Q5" s="10"/>
      <c r="R5" s="10"/>
      <c r="S5" s="10"/>
      <c r="T5" s="16"/>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5">
        <v>40500</v>
      </c>
      <c r="FD5" s="55">
        <v>40000</v>
      </c>
      <c r="FE5" s="55">
        <v>2500</v>
      </c>
      <c r="FF5" s="55">
        <v>2000</v>
      </c>
      <c r="FG5" s="55">
        <v>50</v>
      </c>
      <c r="FH5" s="55">
        <v>60</v>
      </c>
      <c r="FI5" s="55">
        <v>6</v>
      </c>
      <c r="FJ5" s="55">
        <v>350</v>
      </c>
      <c r="FK5" s="55"/>
      <c r="FL5" s="55"/>
      <c r="FM5" s="55"/>
      <c r="FN5" s="55"/>
      <c r="FO5" s="55"/>
      <c r="FQ5" s="124">
        <v>39873</v>
      </c>
      <c r="FR5" s="124">
        <v>48486</v>
      </c>
      <c r="FS5" s="124">
        <v>2662</v>
      </c>
      <c r="FT5" s="124">
        <v>4494</v>
      </c>
      <c r="FU5" s="124">
        <v>40.85</v>
      </c>
      <c r="FV5" s="124">
        <v>54.12</v>
      </c>
      <c r="FW5" s="124">
        <v>6</v>
      </c>
      <c r="FX5" s="124">
        <v>147</v>
      </c>
      <c r="FY5" s="124"/>
      <c r="FZ5" s="124"/>
      <c r="GA5" s="124"/>
      <c r="GB5" s="124"/>
      <c r="GC5" s="124"/>
    </row>
    <row r="6" spans="1:185" x14ac:dyDescent="0.25">
      <c r="A6" s="29">
        <v>5</v>
      </c>
      <c r="B6" s="27" t="s">
        <v>424</v>
      </c>
      <c r="C6" s="10"/>
      <c r="D6" s="10"/>
      <c r="E6" s="10"/>
      <c r="F6" s="10"/>
      <c r="G6" s="16"/>
      <c r="H6" s="16"/>
      <c r="I6" s="16"/>
      <c r="J6" s="16"/>
      <c r="K6" s="16"/>
      <c r="L6" s="10"/>
      <c r="M6" s="10"/>
      <c r="N6" s="10"/>
      <c r="O6" s="10"/>
      <c r="P6" s="10"/>
      <c r="Q6" s="10"/>
      <c r="R6" s="10"/>
      <c r="S6" s="10"/>
      <c r="T6" s="16"/>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5">
        <v>20000</v>
      </c>
      <c r="FD6" s="55">
        <v>4</v>
      </c>
      <c r="FE6" s="55">
        <v>3900</v>
      </c>
      <c r="FF6" s="55">
        <v>0.7</v>
      </c>
      <c r="FG6" s="55">
        <v>20</v>
      </c>
      <c r="FH6" s="55"/>
      <c r="FI6" s="55"/>
      <c r="FJ6" s="55"/>
      <c r="FK6" s="55"/>
      <c r="FL6" s="55"/>
      <c r="FM6" s="55"/>
      <c r="FN6" s="55"/>
      <c r="FO6" s="55"/>
      <c r="FQ6" s="124">
        <v>20832</v>
      </c>
      <c r="FR6" s="124">
        <v>3.04</v>
      </c>
      <c r="FS6" s="124">
        <v>4177</v>
      </c>
      <c r="FT6" s="124">
        <v>0.61</v>
      </c>
      <c r="FU6" s="124">
        <v>12</v>
      </c>
      <c r="FV6" s="124"/>
      <c r="FW6" s="124"/>
      <c r="FX6" s="124"/>
      <c r="FY6" s="124"/>
      <c r="FZ6" s="124"/>
      <c r="GA6" s="124"/>
      <c r="GB6" s="124"/>
      <c r="GC6" s="124"/>
    </row>
    <row r="7" spans="1:185" x14ac:dyDescent="0.25">
      <c r="A7" s="29">
        <v>6</v>
      </c>
      <c r="B7" s="27" t="s">
        <v>481</v>
      </c>
      <c r="C7" s="10"/>
      <c r="D7" s="10"/>
      <c r="E7" s="10"/>
      <c r="F7" s="10"/>
      <c r="G7" s="16"/>
      <c r="H7" s="16"/>
      <c r="I7" s="16"/>
      <c r="J7" s="16"/>
      <c r="K7" s="16"/>
      <c r="L7" s="10"/>
      <c r="M7" s="10"/>
      <c r="N7" s="10"/>
      <c r="O7" s="10"/>
      <c r="P7" s="10"/>
      <c r="Q7" s="10"/>
      <c r="R7" s="10"/>
      <c r="S7" s="10"/>
      <c r="T7" s="16"/>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33"/>
      <c r="DR7" s="33"/>
      <c r="DS7" s="10"/>
      <c r="DT7" s="10"/>
      <c r="DU7" s="10"/>
      <c r="DV7" s="10"/>
      <c r="DW7" s="10"/>
      <c r="DX7" s="10"/>
      <c r="DY7" s="10"/>
      <c r="DZ7" s="10"/>
      <c r="EA7" s="10"/>
      <c r="EB7" s="10"/>
      <c r="EC7" s="33"/>
      <c r="ED7" s="33"/>
      <c r="EE7" s="33"/>
      <c r="EF7" s="33"/>
      <c r="EG7" s="33"/>
      <c r="EH7" s="33"/>
      <c r="EI7" s="33"/>
      <c r="EJ7" s="33"/>
      <c r="EK7" s="33"/>
      <c r="EL7" s="33"/>
      <c r="EM7" s="33"/>
      <c r="EN7" s="10"/>
      <c r="EO7" s="10"/>
      <c r="EP7" s="10"/>
      <c r="EQ7" s="10"/>
      <c r="ER7" s="10"/>
      <c r="ES7" s="10"/>
      <c r="ET7" s="10"/>
      <c r="EU7" s="10"/>
      <c r="EV7" s="10"/>
      <c r="EW7" s="10"/>
      <c r="EX7" s="10"/>
      <c r="EY7" s="10"/>
      <c r="EZ7" s="10"/>
      <c r="FA7" s="10"/>
      <c r="FB7" s="10"/>
      <c r="FC7" s="55">
        <v>25</v>
      </c>
      <c r="FD7" s="55">
        <v>15</v>
      </c>
      <c r="FE7" s="55">
        <v>50</v>
      </c>
      <c r="FF7" s="55">
        <v>20</v>
      </c>
      <c r="FG7" s="55">
        <v>55</v>
      </c>
      <c r="FH7" s="55">
        <v>30</v>
      </c>
      <c r="FI7" s="55">
        <v>5</v>
      </c>
      <c r="FJ7" s="55">
        <v>200</v>
      </c>
      <c r="FK7" s="55">
        <v>10</v>
      </c>
      <c r="FL7" s="55"/>
      <c r="FM7" s="55"/>
      <c r="FN7" s="55"/>
      <c r="FO7" s="55"/>
      <c r="FQ7" s="124">
        <v>18</v>
      </c>
      <c r="FR7" s="124">
        <v>13</v>
      </c>
      <c r="FS7" s="124">
        <v>53</v>
      </c>
      <c r="FT7" s="124">
        <v>15</v>
      </c>
      <c r="FU7" s="124">
        <v>64</v>
      </c>
      <c r="FV7" s="124">
        <v>23</v>
      </c>
      <c r="FW7" s="124">
        <v>4</v>
      </c>
      <c r="FX7" s="124">
        <v>80</v>
      </c>
      <c r="FY7" s="124">
        <v>7.15</v>
      </c>
      <c r="FZ7" s="124"/>
      <c r="GA7" s="124"/>
      <c r="GB7" s="124"/>
      <c r="GC7" s="124"/>
    </row>
    <row r="8" spans="1:185" x14ac:dyDescent="0.25">
      <c r="A8" s="29">
        <v>7</v>
      </c>
      <c r="B8" s="27" t="s">
        <v>234</v>
      </c>
      <c r="C8" s="10"/>
      <c r="D8" s="10"/>
      <c r="E8" s="10"/>
      <c r="F8" s="10"/>
      <c r="G8" s="16"/>
      <c r="H8" s="16"/>
      <c r="I8" s="16"/>
      <c r="J8" s="16"/>
      <c r="K8" s="16"/>
      <c r="L8" s="10"/>
      <c r="M8" s="10"/>
      <c r="N8" s="10"/>
      <c r="O8" s="10"/>
      <c r="P8" s="10"/>
      <c r="Q8" s="10"/>
      <c r="R8" s="10"/>
      <c r="S8" s="10"/>
      <c r="T8" s="16"/>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33"/>
      <c r="DR8" s="33"/>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5">
        <v>500</v>
      </c>
      <c r="FD8" s="55">
        <v>85</v>
      </c>
      <c r="FE8" s="55">
        <v>80</v>
      </c>
      <c r="FF8" s="55">
        <v>20</v>
      </c>
      <c r="FG8" s="55">
        <v>15</v>
      </c>
      <c r="FH8" s="55">
        <v>1</v>
      </c>
      <c r="FI8" s="55">
        <v>50</v>
      </c>
      <c r="FJ8" s="55"/>
      <c r="FK8" s="55"/>
      <c r="FL8" s="55"/>
      <c r="FM8" s="55"/>
      <c r="FN8" s="55"/>
      <c r="FO8" s="55"/>
      <c r="FQ8" s="124">
        <v>509</v>
      </c>
      <c r="FR8" s="124">
        <v>89</v>
      </c>
      <c r="FS8" s="124">
        <v>76</v>
      </c>
      <c r="FT8" s="124">
        <v>22</v>
      </c>
      <c r="FU8" s="124">
        <v>19</v>
      </c>
      <c r="FV8" s="124">
        <v>2</v>
      </c>
      <c r="FW8" s="124">
        <v>92</v>
      </c>
      <c r="FX8" s="124"/>
      <c r="FY8" s="124"/>
      <c r="FZ8" s="124"/>
      <c r="GA8" s="124"/>
      <c r="GB8" s="124"/>
      <c r="GC8" s="124"/>
    </row>
    <row r="9" spans="1:185" x14ac:dyDescent="0.25">
      <c r="A9" s="29">
        <v>8</v>
      </c>
      <c r="B9" s="27" t="s">
        <v>25</v>
      </c>
      <c r="C9" s="10"/>
      <c r="D9" s="10"/>
      <c r="E9" s="10"/>
      <c r="F9" s="10"/>
      <c r="G9" s="16"/>
      <c r="H9" s="16"/>
      <c r="I9" s="16"/>
      <c r="J9" s="16"/>
      <c r="K9" s="16"/>
      <c r="L9" s="10"/>
      <c r="M9" s="10"/>
      <c r="N9" s="10"/>
      <c r="O9" s="10"/>
      <c r="P9" s="10"/>
      <c r="Q9" s="10"/>
      <c r="R9" s="10"/>
      <c r="S9" s="10"/>
      <c r="T9" s="16"/>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5">
        <v>10500</v>
      </c>
      <c r="FD9" s="55">
        <v>58</v>
      </c>
      <c r="FE9" s="55">
        <v>1.9</v>
      </c>
      <c r="FF9" s="55">
        <v>8</v>
      </c>
      <c r="FG9" s="55">
        <v>5000</v>
      </c>
      <c r="FH9" s="55">
        <v>30</v>
      </c>
      <c r="FI9" s="55">
        <v>0</v>
      </c>
      <c r="FJ9" s="55">
        <v>30</v>
      </c>
      <c r="FK9" s="55">
        <v>30</v>
      </c>
      <c r="FL9" s="55">
        <v>30</v>
      </c>
      <c r="FM9" s="55">
        <v>30</v>
      </c>
      <c r="FN9" s="55">
        <v>30</v>
      </c>
      <c r="FO9" s="55">
        <v>30</v>
      </c>
      <c r="FQ9" s="124">
        <v>11001</v>
      </c>
      <c r="FR9" s="124">
        <v>60.3</v>
      </c>
      <c r="FS9" s="124">
        <v>1.76</v>
      </c>
      <c r="FT9" s="124">
        <v>8.7200000000000006</v>
      </c>
      <c r="FU9" s="124">
        <v>5014</v>
      </c>
      <c r="FV9" s="124">
        <v>31.3</v>
      </c>
      <c r="FW9" s="124"/>
      <c r="FX9" s="124">
        <v>36.200000000000003</v>
      </c>
      <c r="FY9" s="124">
        <v>32</v>
      </c>
      <c r="FZ9" s="124">
        <v>26.7</v>
      </c>
      <c r="GA9" s="124">
        <v>30.8</v>
      </c>
      <c r="GB9" s="124">
        <v>26.8</v>
      </c>
      <c r="GC9" s="124">
        <v>33.799999999999997</v>
      </c>
    </row>
    <row r="10" spans="1:185" x14ac:dyDescent="0.25">
      <c r="A10" s="29">
        <v>9</v>
      </c>
      <c r="B10" s="27" t="s">
        <v>69</v>
      </c>
      <c r="C10" s="10"/>
      <c r="D10" s="10"/>
      <c r="E10" s="10"/>
      <c r="F10" s="10"/>
      <c r="G10" s="16"/>
      <c r="H10" s="16"/>
      <c r="I10" s="16"/>
      <c r="J10" s="16"/>
      <c r="K10" s="16"/>
      <c r="L10" s="10"/>
      <c r="M10" s="10"/>
      <c r="N10" s="10"/>
      <c r="O10" s="10"/>
      <c r="P10" s="10"/>
      <c r="Q10" s="10"/>
      <c r="R10" s="10"/>
      <c r="S10" s="10"/>
      <c r="T10" s="16"/>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5">
        <v>60</v>
      </c>
      <c r="FD10" s="55">
        <v>725</v>
      </c>
      <c r="FE10" s="55">
        <v>200</v>
      </c>
      <c r="FF10" s="55">
        <v>360</v>
      </c>
      <c r="FG10" s="55">
        <v>75</v>
      </c>
      <c r="FH10" s="55">
        <v>90</v>
      </c>
      <c r="FI10" s="55">
        <v>1150</v>
      </c>
      <c r="FJ10" s="55">
        <v>95</v>
      </c>
      <c r="FK10" s="55">
        <v>250</v>
      </c>
      <c r="FL10" s="55">
        <v>275</v>
      </c>
      <c r="FM10" s="55"/>
      <c r="FN10" s="55"/>
      <c r="FO10" s="55"/>
      <c r="FQ10" s="124">
        <v>63</v>
      </c>
      <c r="FR10" s="124">
        <v>666</v>
      </c>
      <c r="FS10" s="124">
        <v>163</v>
      </c>
      <c r="FT10" s="124">
        <v>382</v>
      </c>
      <c r="FU10" s="124">
        <v>53.3</v>
      </c>
      <c r="FV10" s="124">
        <v>92</v>
      </c>
      <c r="FW10" s="124">
        <v>1247</v>
      </c>
      <c r="FX10" s="124">
        <v>92.3</v>
      </c>
      <c r="FY10" s="124">
        <v>229</v>
      </c>
      <c r="FZ10" s="124">
        <v>294</v>
      </c>
      <c r="GA10" s="124"/>
      <c r="GB10" s="124"/>
      <c r="GC10" s="124"/>
    </row>
    <row r="11" spans="1:185" x14ac:dyDescent="0.25">
      <c r="A11" s="29">
        <v>10</v>
      </c>
      <c r="B11" s="27" t="s">
        <v>227</v>
      </c>
      <c r="C11" s="10"/>
      <c r="D11" s="10"/>
      <c r="E11" s="10"/>
      <c r="F11" s="10"/>
      <c r="G11" s="16"/>
      <c r="H11" s="16"/>
      <c r="I11" s="16"/>
      <c r="J11" s="16"/>
      <c r="K11" s="16"/>
      <c r="L11" s="10"/>
      <c r="M11" s="10"/>
      <c r="N11" s="10"/>
      <c r="O11" s="10"/>
      <c r="P11" s="10"/>
      <c r="Q11" s="10"/>
      <c r="R11" s="10"/>
      <c r="S11" s="10"/>
      <c r="T11" s="16"/>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5">
        <v>2400</v>
      </c>
      <c r="FD11" s="55">
        <v>10</v>
      </c>
      <c r="FE11" s="55">
        <v>2000</v>
      </c>
      <c r="FF11" s="55">
        <v>200</v>
      </c>
      <c r="FG11" s="55"/>
      <c r="FH11" s="55"/>
      <c r="FI11" s="55"/>
      <c r="FJ11" s="55"/>
      <c r="FK11" s="55"/>
      <c r="FL11" s="55"/>
      <c r="FM11" s="55"/>
      <c r="FN11" s="55"/>
      <c r="FO11" s="55"/>
      <c r="FQ11" s="124">
        <v>2681</v>
      </c>
      <c r="FR11" s="124">
        <v>10.8</v>
      </c>
      <c r="FS11" s="124">
        <v>2259</v>
      </c>
      <c r="FT11" s="124">
        <v>234</v>
      </c>
      <c r="FU11" s="124"/>
      <c r="FV11" s="124"/>
      <c r="FW11" s="124"/>
      <c r="FX11" s="124"/>
      <c r="FY11" s="124"/>
      <c r="FZ11" s="124"/>
      <c r="GA11" s="124"/>
      <c r="GB11" s="124"/>
      <c r="GC11" s="124"/>
    </row>
    <row r="12" spans="1:185" x14ac:dyDescent="0.25">
      <c r="A12" s="25">
        <v>11</v>
      </c>
      <c r="B12" s="27" t="s">
        <v>6</v>
      </c>
      <c r="C12" s="10"/>
      <c r="D12" s="10"/>
      <c r="E12" s="10"/>
      <c r="F12" s="10"/>
      <c r="G12" s="16"/>
      <c r="H12" s="16"/>
      <c r="I12" s="16"/>
      <c r="J12" s="16"/>
      <c r="K12" s="16"/>
      <c r="L12" s="10"/>
      <c r="M12" s="10"/>
      <c r="N12" s="10"/>
      <c r="O12" s="10"/>
      <c r="P12" s="10"/>
      <c r="Q12" s="10"/>
      <c r="R12" s="10"/>
      <c r="S12" s="10"/>
      <c r="T12" s="16"/>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5">
        <v>2350</v>
      </c>
      <c r="FD12" s="55">
        <v>5000</v>
      </c>
      <c r="FE12" s="55">
        <v>23</v>
      </c>
      <c r="FF12" s="55">
        <v>0</v>
      </c>
      <c r="FG12" s="55">
        <v>340</v>
      </c>
      <c r="FH12" s="55">
        <v>0</v>
      </c>
      <c r="FI12" s="55">
        <v>200</v>
      </c>
      <c r="FJ12" s="55">
        <v>775</v>
      </c>
      <c r="FK12" s="55">
        <v>7900</v>
      </c>
      <c r="FL12" s="55">
        <v>30</v>
      </c>
      <c r="FM12" s="55">
        <v>120</v>
      </c>
      <c r="FN12" s="55">
        <v>295</v>
      </c>
      <c r="FO12" s="55">
        <v>9500</v>
      </c>
      <c r="FQ12" s="124">
        <v>2692</v>
      </c>
      <c r="FR12" s="124">
        <v>4352</v>
      </c>
      <c r="FS12" s="124">
        <v>24.5</v>
      </c>
      <c r="FT12" s="124">
        <v>0</v>
      </c>
      <c r="FU12" s="124">
        <v>367</v>
      </c>
      <c r="FV12" s="124">
        <v>0</v>
      </c>
      <c r="FW12" s="124">
        <v>198</v>
      </c>
      <c r="FX12" s="124">
        <v>651</v>
      </c>
      <c r="FY12" s="124">
        <v>7775</v>
      </c>
      <c r="FZ12" s="124">
        <v>34.6</v>
      </c>
      <c r="GA12" s="124">
        <v>124</v>
      </c>
      <c r="GB12" s="124">
        <v>254</v>
      </c>
      <c r="GC12" s="124">
        <v>10703</v>
      </c>
    </row>
    <row r="13" spans="1:185" x14ac:dyDescent="0.25">
      <c r="A13" s="25">
        <v>12</v>
      </c>
      <c r="B13" s="27" t="s">
        <v>430</v>
      </c>
      <c r="C13" s="10"/>
      <c r="D13" s="10"/>
      <c r="E13" s="10"/>
      <c r="F13" s="10"/>
      <c r="G13" s="16"/>
      <c r="H13" s="16"/>
      <c r="I13" s="16"/>
      <c r="J13" s="16"/>
      <c r="K13" s="16"/>
      <c r="L13" s="10"/>
      <c r="M13" s="10"/>
      <c r="N13" s="10"/>
      <c r="O13" s="10"/>
      <c r="P13" s="10"/>
      <c r="Q13" s="10"/>
      <c r="R13" s="10"/>
      <c r="S13" s="10"/>
      <c r="T13" s="16"/>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5">
        <v>40</v>
      </c>
      <c r="FD13" s="55">
        <v>9</v>
      </c>
      <c r="FE13" s="55">
        <v>25</v>
      </c>
      <c r="FF13" s="55">
        <v>6.5</v>
      </c>
      <c r="FG13" s="55"/>
      <c r="FH13" s="55"/>
      <c r="FI13" s="55">
        <v>5500000</v>
      </c>
      <c r="FJ13" s="55"/>
      <c r="FK13" s="55"/>
      <c r="FL13" s="55"/>
      <c r="FM13" s="55"/>
      <c r="FN13" s="55"/>
      <c r="FO13" s="55"/>
      <c r="FQ13" s="124">
        <v>54</v>
      </c>
      <c r="FR13" s="124">
        <v>12.3</v>
      </c>
      <c r="FS13" s="124">
        <v>33</v>
      </c>
      <c r="FT13" s="124">
        <v>7.5</v>
      </c>
      <c r="FU13" s="124"/>
      <c r="FV13" s="124"/>
      <c r="FW13" s="124"/>
      <c r="FX13" s="124"/>
      <c r="FY13" s="124"/>
      <c r="FZ13" s="124"/>
      <c r="GA13" s="124"/>
      <c r="GB13" s="124"/>
      <c r="GC13" s="124"/>
    </row>
    <row r="14" spans="1:185" x14ac:dyDescent="0.25">
      <c r="A14" s="25">
        <v>13</v>
      </c>
      <c r="B14" s="27" t="s">
        <v>228</v>
      </c>
      <c r="C14" s="10"/>
      <c r="D14" s="10"/>
      <c r="E14" s="10"/>
      <c r="F14" s="10"/>
      <c r="G14" s="16"/>
      <c r="H14" s="16"/>
      <c r="I14" s="16"/>
      <c r="J14" s="16"/>
      <c r="K14" s="16"/>
      <c r="L14" s="10"/>
      <c r="M14" s="10"/>
      <c r="N14" s="10"/>
      <c r="O14" s="10"/>
      <c r="P14" s="10"/>
      <c r="Q14" s="10"/>
      <c r="R14" s="10"/>
      <c r="S14" s="10"/>
      <c r="T14" s="16"/>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5">
        <v>3850</v>
      </c>
      <c r="FD14" s="55">
        <v>470</v>
      </c>
      <c r="FE14" s="55">
        <v>2500</v>
      </c>
      <c r="FF14" s="55">
        <v>2300</v>
      </c>
      <c r="FG14" s="55">
        <v>2200</v>
      </c>
      <c r="FH14" s="55">
        <v>25</v>
      </c>
      <c r="FI14" s="55">
        <v>1.6</v>
      </c>
      <c r="FJ14" s="55">
        <v>45</v>
      </c>
      <c r="FK14" s="55">
        <v>80</v>
      </c>
      <c r="FL14" s="55">
        <v>3800</v>
      </c>
      <c r="FM14" s="55">
        <v>90</v>
      </c>
      <c r="FN14" s="55"/>
      <c r="FO14" s="55"/>
      <c r="FQ14" s="124">
        <v>4413</v>
      </c>
      <c r="FR14" s="124">
        <v>490</v>
      </c>
      <c r="FS14" s="124">
        <v>2827</v>
      </c>
      <c r="FT14" s="124">
        <v>2630</v>
      </c>
      <c r="FU14" s="124">
        <v>2316</v>
      </c>
      <c r="FV14" s="124">
        <v>11</v>
      </c>
      <c r="FW14" s="124">
        <v>1.82</v>
      </c>
      <c r="FX14" s="124">
        <v>51.28</v>
      </c>
      <c r="FY14" s="124">
        <v>109.8</v>
      </c>
      <c r="FZ14" s="124">
        <v>4117</v>
      </c>
      <c r="GA14" s="124">
        <v>96</v>
      </c>
      <c r="GB14" s="124"/>
      <c r="GC14" s="124"/>
    </row>
    <row r="15" spans="1:185" x14ac:dyDescent="0.25">
      <c r="A15" s="25">
        <v>14</v>
      </c>
      <c r="B15" s="27" t="s">
        <v>230</v>
      </c>
      <c r="C15" s="10"/>
      <c r="D15" s="10"/>
      <c r="E15" s="10"/>
      <c r="F15" s="10"/>
      <c r="G15" s="10"/>
      <c r="H15" s="10"/>
      <c r="I15" s="10"/>
      <c r="J15" s="10"/>
      <c r="K15" s="10"/>
      <c r="L15" s="10"/>
      <c r="M15" s="10"/>
      <c r="N15" s="10"/>
      <c r="O15" s="10"/>
      <c r="P15" s="10"/>
      <c r="Q15" s="10"/>
      <c r="R15" s="10"/>
      <c r="S15" s="10"/>
      <c r="T15" s="16"/>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5">
        <v>99.99</v>
      </c>
      <c r="FD15" s="55">
        <v>99.99</v>
      </c>
      <c r="FE15" s="55">
        <v>99.99</v>
      </c>
      <c r="FF15" s="55">
        <v>5000</v>
      </c>
      <c r="FG15" s="55"/>
      <c r="FH15" s="55"/>
      <c r="FI15" s="55"/>
      <c r="FJ15" s="55"/>
      <c r="FK15" s="55"/>
      <c r="FL15" s="55"/>
      <c r="FM15" s="55"/>
      <c r="FN15" s="55"/>
      <c r="FO15" s="55"/>
      <c r="FQ15" s="124">
        <v>100</v>
      </c>
      <c r="FR15" s="124">
        <v>100</v>
      </c>
      <c r="FS15" s="124">
        <v>100</v>
      </c>
      <c r="FT15" s="124">
        <v>5100</v>
      </c>
      <c r="FU15" s="124"/>
      <c r="FV15" s="124"/>
      <c r="FW15" s="124"/>
      <c r="FX15" s="124"/>
      <c r="FY15" s="124"/>
      <c r="FZ15" s="124"/>
      <c r="GA15" s="124"/>
      <c r="GB15" s="124"/>
      <c r="GC15" s="124"/>
    </row>
    <row r="16" spans="1:185" x14ac:dyDescent="0.25">
      <c r="A16" s="25">
        <v>15</v>
      </c>
      <c r="B16" s="27" t="s">
        <v>7</v>
      </c>
      <c r="C16" s="10"/>
      <c r="D16" s="10"/>
      <c r="E16" s="10"/>
      <c r="F16" s="10"/>
      <c r="G16" s="10"/>
      <c r="H16" s="10"/>
      <c r="I16" s="10"/>
      <c r="J16" s="10"/>
      <c r="K16" s="10"/>
      <c r="L16" s="10"/>
      <c r="M16" s="10"/>
      <c r="N16" s="10"/>
      <c r="O16" s="10"/>
      <c r="P16" s="10"/>
      <c r="Q16" s="10"/>
      <c r="R16" s="10"/>
      <c r="S16" s="10"/>
      <c r="T16" s="16"/>
      <c r="U16" s="10"/>
      <c r="V16" s="10"/>
      <c r="W16" s="10"/>
      <c r="X16" s="10"/>
      <c r="Y16" s="10"/>
      <c r="Z16" s="10"/>
      <c r="AA16" s="10"/>
      <c r="AB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5">
        <v>115</v>
      </c>
      <c r="FD16" s="55">
        <v>12</v>
      </c>
      <c r="FE16" s="55">
        <v>2800</v>
      </c>
      <c r="FF16" s="55">
        <v>7.5</v>
      </c>
      <c r="FG16" s="55">
        <v>2800</v>
      </c>
      <c r="FH16" s="55">
        <v>80</v>
      </c>
      <c r="FI16" s="55"/>
      <c r="FJ16" s="55"/>
      <c r="FK16" s="55"/>
      <c r="FL16" s="55"/>
      <c r="FM16" s="55"/>
      <c r="FN16" s="55"/>
      <c r="FO16" s="55"/>
      <c r="FQ16" s="124">
        <v>130.9</v>
      </c>
      <c r="FR16" s="124">
        <v>15.6</v>
      </c>
      <c r="FS16" s="124">
        <v>2777</v>
      </c>
      <c r="FT16" s="124">
        <v>8.3000000000000007</v>
      </c>
      <c r="FU16" s="124">
        <v>2750</v>
      </c>
      <c r="FV16" s="124">
        <v>86.7</v>
      </c>
      <c r="FW16" s="124"/>
      <c r="FX16" s="124"/>
      <c r="FY16" s="124"/>
      <c r="FZ16" s="124"/>
      <c r="GA16" s="124"/>
      <c r="GB16" s="124"/>
      <c r="GC16" s="124"/>
    </row>
    <row r="17" spans="1:185" x14ac:dyDescent="0.25">
      <c r="A17" s="25">
        <v>16</v>
      </c>
      <c r="B17" s="27" t="s">
        <v>8</v>
      </c>
      <c r="C17" s="10"/>
      <c r="D17" s="10"/>
      <c r="E17" s="10"/>
      <c r="F17" s="10"/>
      <c r="G17" s="16"/>
      <c r="H17" s="10"/>
      <c r="I17" s="10"/>
      <c r="J17" s="10"/>
      <c r="K17" s="10"/>
      <c r="L17" s="10"/>
      <c r="M17" s="10"/>
      <c r="N17" s="10"/>
      <c r="O17" s="10"/>
      <c r="P17" s="10"/>
      <c r="Q17" s="10"/>
      <c r="R17" s="10"/>
      <c r="S17" s="10"/>
      <c r="T17" s="16"/>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5"/>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5">
        <v>167500</v>
      </c>
      <c r="FD17" s="55">
        <v>85000</v>
      </c>
      <c r="FE17" s="56">
        <v>14000</v>
      </c>
      <c r="FF17" s="56">
        <v>12500</v>
      </c>
      <c r="FG17" s="56">
        <v>115000</v>
      </c>
      <c r="FH17" s="56">
        <v>30000</v>
      </c>
      <c r="FI17" s="57">
        <v>2</v>
      </c>
      <c r="FJ17" s="57">
        <v>2.75</v>
      </c>
      <c r="FK17" s="57">
        <v>8.5</v>
      </c>
      <c r="FL17" s="56">
        <v>3000</v>
      </c>
      <c r="FM17" s="56">
        <v>4000</v>
      </c>
      <c r="FN17" s="55">
        <v>750</v>
      </c>
      <c r="FO17" s="55">
        <v>3</v>
      </c>
      <c r="FQ17" s="124">
        <v>160636</v>
      </c>
      <c r="FR17" s="124">
        <v>78727</v>
      </c>
      <c r="FS17" s="124">
        <v>14707</v>
      </c>
      <c r="FT17" s="124">
        <v>10471</v>
      </c>
      <c r="FU17" s="124">
        <v>108158</v>
      </c>
      <c r="FV17" s="124">
        <v>27108</v>
      </c>
      <c r="FW17" s="124">
        <v>1.82</v>
      </c>
      <c r="FX17" s="124">
        <v>2.27</v>
      </c>
      <c r="FY17" s="124">
        <v>8.76</v>
      </c>
      <c r="FZ17" s="124">
        <v>3159</v>
      </c>
      <c r="GA17" s="124">
        <v>4161</v>
      </c>
      <c r="GB17" s="124">
        <v>768</v>
      </c>
      <c r="GC17" s="124">
        <v>0</v>
      </c>
    </row>
    <row r="18" spans="1:185" x14ac:dyDescent="0.25">
      <c r="A18" s="25">
        <v>17</v>
      </c>
      <c r="B18" s="27" t="s">
        <v>231</v>
      </c>
      <c r="C18" s="10"/>
      <c r="D18" s="10"/>
      <c r="E18" s="10"/>
      <c r="F18" s="10"/>
      <c r="G18" s="10"/>
      <c r="H18" s="10"/>
      <c r="I18" s="10"/>
      <c r="J18" s="10"/>
      <c r="K18" s="10"/>
      <c r="L18" s="10"/>
      <c r="M18" s="10"/>
      <c r="N18" s="10"/>
      <c r="O18" s="10"/>
      <c r="P18" s="10"/>
      <c r="Q18" s="10"/>
      <c r="R18" s="10"/>
      <c r="S18" s="10"/>
      <c r="T18" s="16"/>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5">
        <v>450</v>
      </c>
      <c r="FD18" s="55">
        <v>8</v>
      </c>
      <c r="FE18" s="55">
        <v>575</v>
      </c>
      <c r="FF18" s="55">
        <v>40</v>
      </c>
      <c r="FG18" s="55">
        <v>4500</v>
      </c>
      <c r="FH18" s="55">
        <v>525</v>
      </c>
      <c r="FI18" s="55">
        <v>3700</v>
      </c>
      <c r="FJ18" s="55">
        <v>50</v>
      </c>
      <c r="FK18" s="55">
        <v>700</v>
      </c>
      <c r="FL18" s="55">
        <v>85</v>
      </c>
      <c r="FM18" s="55">
        <v>325</v>
      </c>
      <c r="FN18" s="55"/>
      <c r="FO18" s="55"/>
      <c r="FQ18" s="124">
        <v>483</v>
      </c>
      <c r="FR18" s="124">
        <v>9</v>
      </c>
      <c r="FS18" s="124">
        <v>545</v>
      </c>
      <c r="FT18" s="124">
        <v>48</v>
      </c>
      <c r="FU18" s="124">
        <v>4609</v>
      </c>
      <c r="FV18" s="124">
        <v>412</v>
      </c>
      <c r="FW18" s="124">
        <v>3691</v>
      </c>
      <c r="FX18" s="124">
        <v>22.4</v>
      </c>
      <c r="FY18" s="124">
        <v>615</v>
      </c>
      <c r="FZ18" s="124">
        <v>76.8</v>
      </c>
      <c r="GA18" s="124">
        <v>398</v>
      </c>
      <c r="GB18" s="124"/>
      <c r="GC18" s="124"/>
    </row>
    <row r="19" spans="1:185" x14ac:dyDescent="0.25">
      <c r="A19" s="25">
        <v>18</v>
      </c>
      <c r="B19" s="27" t="s">
        <v>9</v>
      </c>
      <c r="C19" s="10"/>
      <c r="D19" s="10"/>
      <c r="E19" s="10"/>
      <c r="F19" s="10"/>
      <c r="G19" s="10"/>
      <c r="H19" s="10"/>
      <c r="I19" s="10"/>
      <c r="J19" s="10"/>
      <c r="K19" s="10"/>
      <c r="L19" s="10"/>
      <c r="M19" s="10"/>
      <c r="N19" s="10"/>
      <c r="O19" s="10"/>
      <c r="P19" s="10"/>
      <c r="Q19" s="10"/>
      <c r="R19" s="10"/>
      <c r="S19" s="10"/>
      <c r="T19" s="16"/>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5">
        <v>1850</v>
      </c>
      <c r="FD19" s="55">
        <v>2050</v>
      </c>
      <c r="FE19" s="55">
        <v>5700</v>
      </c>
      <c r="FF19" s="55">
        <v>1600</v>
      </c>
      <c r="FG19" s="55">
        <v>7.7</v>
      </c>
      <c r="FH19" s="55">
        <v>250000</v>
      </c>
      <c r="FI19" s="55">
        <v>450000</v>
      </c>
      <c r="FJ19" s="55">
        <v>850</v>
      </c>
      <c r="FK19" s="55"/>
      <c r="FL19" s="55"/>
      <c r="FM19" s="55"/>
      <c r="FN19" s="55"/>
      <c r="FO19" s="55"/>
      <c r="FQ19" s="124">
        <v>1965</v>
      </c>
      <c r="FR19" s="124">
        <v>2415</v>
      </c>
      <c r="FS19" s="124">
        <v>6269</v>
      </c>
      <c r="FT19" s="124">
        <v>1880</v>
      </c>
      <c r="FU19" s="124">
        <v>7.97</v>
      </c>
      <c r="FV19" s="124">
        <v>275893</v>
      </c>
      <c r="FW19" s="124">
        <v>539760</v>
      </c>
      <c r="FX19" s="124">
        <v>1610.9</v>
      </c>
      <c r="FY19" s="124"/>
      <c r="FZ19" s="124"/>
      <c r="GA19" s="124"/>
      <c r="GB19" s="124"/>
      <c r="GC19" s="124"/>
    </row>
    <row r="20" spans="1:185" ht="12" customHeight="1" x14ac:dyDescent="0.25">
      <c r="A20" s="25">
        <v>19</v>
      </c>
      <c r="B20" s="27" t="s">
        <v>61</v>
      </c>
      <c r="C20" s="10"/>
      <c r="D20" s="10"/>
      <c r="E20" s="10"/>
      <c r="F20" s="10"/>
      <c r="G20" s="10"/>
      <c r="H20" s="10"/>
      <c r="I20" s="10"/>
      <c r="J20" s="10"/>
      <c r="K20" s="10"/>
      <c r="L20" s="10"/>
      <c r="M20" s="10"/>
      <c r="N20" s="10"/>
      <c r="O20" s="10"/>
      <c r="P20" s="10"/>
      <c r="Q20" s="10"/>
      <c r="R20" s="10"/>
      <c r="S20" s="10"/>
      <c r="T20" s="16"/>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5">
        <v>75</v>
      </c>
      <c r="FD20" s="55">
        <v>150</v>
      </c>
      <c r="FE20" s="55"/>
      <c r="FF20" s="55"/>
      <c r="FG20" s="55"/>
      <c r="FH20" s="55"/>
      <c r="FI20" s="55"/>
      <c r="FJ20" s="55"/>
      <c r="FK20" s="55"/>
      <c r="FL20" s="55"/>
      <c r="FM20" s="55"/>
      <c r="FN20" s="55"/>
      <c r="FO20" s="55"/>
      <c r="FQ20" s="124">
        <v>101</v>
      </c>
      <c r="FR20" s="124">
        <v>122</v>
      </c>
      <c r="FS20" s="124"/>
      <c r="FT20" s="124"/>
      <c r="FU20" s="124"/>
      <c r="FV20" s="124"/>
      <c r="FW20" s="124"/>
      <c r="FX20" s="124"/>
      <c r="FY20" s="124"/>
      <c r="FZ20" s="124"/>
      <c r="GA20" s="124"/>
      <c r="GB20" s="124"/>
      <c r="GC20" s="124"/>
    </row>
    <row r="21" spans="1:185" x14ac:dyDescent="0.25">
      <c r="A21" s="25">
        <v>20</v>
      </c>
      <c r="B21" s="27" t="s">
        <v>233</v>
      </c>
      <c r="C21" s="10"/>
      <c r="D21" s="10"/>
      <c r="E21" s="10"/>
      <c r="F21" s="10"/>
      <c r="G21" s="10"/>
      <c r="H21" s="10"/>
      <c r="I21" s="10"/>
      <c r="J21" s="10"/>
      <c r="K21" s="10"/>
      <c r="L21" s="10"/>
      <c r="M21" s="10"/>
      <c r="N21" s="10"/>
      <c r="O21" s="10"/>
      <c r="P21" s="10"/>
      <c r="Q21" s="10"/>
      <c r="R21" s="10"/>
      <c r="S21" s="10"/>
      <c r="T21" s="16"/>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8"/>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5">
        <v>315500</v>
      </c>
      <c r="FD21" s="55">
        <v>48000</v>
      </c>
      <c r="FE21" s="55">
        <v>18000</v>
      </c>
      <c r="FF21" s="55">
        <v>2.6</v>
      </c>
      <c r="FG21" s="55">
        <v>0.15</v>
      </c>
      <c r="FH21" s="55">
        <v>22</v>
      </c>
      <c r="FI21" s="55">
        <v>3.5</v>
      </c>
      <c r="FJ21" s="55"/>
      <c r="FK21" s="55"/>
      <c r="FL21" s="55"/>
      <c r="FM21" s="55"/>
      <c r="FN21" s="55"/>
      <c r="FO21" s="55"/>
      <c r="FQ21" s="124">
        <v>312343</v>
      </c>
      <c r="FR21" s="124">
        <v>49645</v>
      </c>
      <c r="FS21" s="124">
        <v>18618</v>
      </c>
      <c r="FT21" s="124">
        <v>2.67</v>
      </c>
      <c r="FU21" s="124">
        <v>0.159</v>
      </c>
      <c r="FV21" s="124">
        <v>23.82</v>
      </c>
      <c r="FW21" s="124">
        <v>3.78</v>
      </c>
      <c r="FX21" s="124"/>
      <c r="FY21" s="124"/>
      <c r="FZ21" s="124"/>
      <c r="GA21" s="124"/>
      <c r="GB21" s="124"/>
      <c r="GC21" s="124"/>
    </row>
    <row r="22" spans="1:185" x14ac:dyDescent="0.25">
      <c r="A22" s="25">
        <v>21</v>
      </c>
      <c r="B22" s="27" t="s">
        <v>10</v>
      </c>
      <c r="C22" s="10"/>
      <c r="D22" s="10"/>
      <c r="E22" s="10"/>
      <c r="F22" s="10"/>
      <c r="G22" s="10"/>
      <c r="H22" s="10"/>
      <c r="I22" s="10"/>
      <c r="J22" s="10"/>
      <c r="K22" s="10"/>
      <c r="L22" s="10"/>
      <c r="M22" s="10"/>
      <c r="N22" s="10"/>
      <c r="O22" s="10"/>
      <c r="P22" s="10"/>
      <c r="Q22" s="10"/>
      <c r="R22" s="10"/>
      <c r="S22" s="10"/>
      <c r="T22" s="16"/>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5">
        <v>6540</v>
      </c>
      <c r="FD22" s="55">
        <v>175</v>
      </c>
      <c r="FE22" s="55">
        <v>600</v>
      </c>
      <c r="FF22" s="55">
        <v>75</v>
      </c>
      <c r="FG22" s="55">
        <v>30</v>
      </c>
      <c r="FH22" s="55">
        <v>6000</v>
      </c>
      <c r="FI22" s="55">
        <v>1500</v>
      </c>
      <c r="FJ22" s="55">
        <v>1200</v>
      </c>
      <c r="FK22" s="55">
        <v>20</v>
      </c>
      <c r="FL22" s="55">
        <v>18</v>
      </c>
      <c r="FM22" s="55"/>
      <c r="FN22" s="55"/>
      <c r="FO22" s="55"/>
      <c r="FQ22" s="124">
        <v>6494</v>
      </c>
      <c r="FR22" s="124">
        <v>210</v>
      </c>
      <c r="FS22" s="124">
        <v>574</v>
      </c>
      <c r="FT22" s="124">
        <v>101</v>
      </c>
      <c r="FU22" s="124">
        <v>26.2</v>
      </c>
      <c r="FV22" s="124">
        <v>5330</v>
      </c>
      <c r="FW22" s="124">
        <v>1489</v>
      </c>
      <c r="FX22" s="124">
        <v>1442</v>
      </c>
      <c r="FY22" s="124">
        <v>20</v>
      </c>
      <c r="FZ22" s="124">
        <v>17.77</v>
      </c>
      <c r="GA22" s="124"/>
      <c r="GB22" s="124"/>
      <c r="GC22" s="124"/>
    </row>
    <row r="23" spans="1:185" x14ac:dyDescent="0.25">
      <c r="A23" s="25">
        <v>22</v>
      </c>
      <c r="B23" s="27" t="s">
        <v>229</v>
      </c>
      <c r="C23" s="10"/>
      <c r="D23" s="10"/>
      <c r="E23" s="10"/>
      <c r="F23" s="10"/>
      <c r="G23" s="10"/>
      <c r="H23" s="10"/>
      <c r="I23" s="10"/>
      <c r="J23" s="10"/>
      <c r="K23" s="10"/>
      <c r="L23" s="10"/>
      <c r="M23" s="10"/>
      <c r="N23" s="10"/>
      <c r="O23" s="10"/>
      <c r="P23" s="10"/>
      <c r="Q23" s="10"/>
      <c r="R23" s="10"/>
      <c r="S23" s="10"/>
      <c r="T23" s="16"/>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5">
        <v>3250</v>
      </c>
      <c r="FD23" s="55">
        <v>1400</v>
      </c>
      <c r="FE23" s="55">
        <v>1100</v>
      </c>
      <c r="FF23" s="55">
        <v>8500</v>
      </c>
      <c r="FG23" s="55">
        <v>65</v>
      </c>
      <c r="FH23" s="55">
        <v>4.45</v>
      </c>
      <c r="FI23" s="55">
        <v>22600</v>
      </c>
      <c r="FJ23" s="55">
        <v>94</v>
      </c>
      <c r="FK23" s="55">
        <v>14.25</v>
      </c>
      <c r="FL23" s="55">
        <v>4500</v>
      </c>
      <c r="FM23" s="55">
        <v>25</v>
      </c>
      <c r="FN23" s="55">
        <v>10</v>
      </c>
      <c r="FO23" s="55"/>
      <c r="FQ23" s="124">
        <v>2766</v>
      </c>
      <c r="FR23" s="124">
        <v>1263</v>
      </c>
      <c r="FS23" s="124">
        <v>1272</v>
      </c>
      <c r="FT23" s="124">
        <v>8156</v>
      </c>
      <c r="FU23" s="124">
        <v>62.1</v>
      </c>
      <c r="FV23" s="124">
        <v>4.45</v>
      </c>
      <c r="FW23" s="124">
        <v>22935</v>
      </c>
      <c r="FX23" s="124">
        <v>92.9</v>
      </c>
      <c r="FY23" s="124">
        <v>16.03</v>
      </c>
      <c r="FZ23" s="124">
        <v>4074</v>
      </c>
      <c r="GA23" s="124">
        <v>23.2</v>
      </c>
      <c r="GB23" s="124">
        <v>9.1199999999999992</v>
      </c>
      <c r="GC23" s="124"/>
    </row>
    <row r="24" spans="1:185" x14ac:dyDescent="0.25">
      <c r="A24" s="25">
        <v>23</v>
      </c>
      <c r="B24" s="27" t="s">
        <v>11</v>
      </c>
      <c r="C24" s="10"/>
      <c r="D24" s="10"/>
      <c r="E24" s="10"/>
      <c r="F24" s="10"/>
      <c r="G24" s="10"/>
      <c r="H24" s="10"/>
      <c r="I24" s="10"/>
      <c r="J24" s="10"/>
      <c r="K24" s="10"/>
      <c r="L24" s="10"/>
      <c r="M24" s="10"/>
      <c r="N24" s="10"/>
      <c r="O24" s="10"/>
      <c r="P24" s="10"/>
      <c r="Q24" s="10"/>
      <c r="R24" s="10"/>
      <c r="S24" s="10"/>
      <c r="T24" s="16"/>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5">
        <v>500</v>
      </c>
      <c r="FD24" s="55">
        <v>70.5</v>
      </c>
      <c r="FE24" s="55">
        <v>5</v>
      </c>
      <c r="FF24" s="55">
        <v>35</v>
      </c>
      <c r="FG24" s="55">
        <v>35000</v>
      </c>
      <c r="FH24" s="55">
        <v>145</v>
      </c>
      <c r="FI24" s="55">
        <v>97</v>
      </c>
      <c r="FJ24" s="55">
        <v>95</v>
      </c>
      <c r="FK24" s="55">
        <v>95</v>
      </c>
      <c r="FL24" s="55">
        <v>95</v>
      </c>
      <c r="FM24" s="55">
        <v>150</v>
      </c>
      <c r="FN24" s="55"/>
      <c r="FO24" s="55"/>
      <c r="FQ24" s="124">
        <v>552</v>
      </c>
      <c r="FR24" s="124">
        <v>72.19</v>
      </c>
      <c r="FS24" s="124">
        <v>9.58</v>
      </c>
      <c r="FT24" s="124">
        <v>17.079999999999998</v>
      </c>
      <c r="FU24" s="124">
        <v>33041</v>
      </c>
      <c r="FV24" s="124">
        <v>134</v>
      </c>
      <c r="FW24" s="124">
        <v>100</v>
      </c>
      <c r="FX24" s="124">
        <v>94.73</v>
      </c>
      <c r="FY24" s="124">
        <v>96.9</v>
      </c>
      <c r="FZ24" s="124">
        <v>98.8</v>
      </c>
      <c r="GA24" s="124">
        <v>162</v>
      </c>
      <c r="GB24" s="124"/>
      <c r="GC24" s="124"/>
    </row>
    <row r="25" spans="1:185" x14ac:dyDescent="0.25">
      <c r="A25" s="25">
        <v>24</v>
      </c>
      <c r="B25" s="27" t="s">
        <v>12</v>
      </c>
      <c r="C25" s="10"/>
      <c r="D25" s="10"/>
      <c r="E25" s="10"/>
      <c r="F25" s="10"/>
      <c r="G25" s="10"/>
      <c r="H25" s="10"/>
      <c r="I25" s="10"/>
      <c r="J25" s="10"/>
      <c r="K25" s="10"/>
      <c r="L25" s="10"/>
      <c r="M25" s="10"/>
      <c r="N25" s="10"/>
      <c r="O25" s="10"/>
      <c r="P25" s="10"/>
      <c r="Q25" s="10"/>
      <c r="R25" s="10"/>
      <c r="S25" s="10"/>
      <c r="T25" s="16"/>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38"/>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5">
        <v>3</v>
      </c>
      <c r="FD25" s="55">
        <v>450</v>
      </c>
      <c r="FE25" s="55">
        <v>3</v>
      </c>
      <c r="FF25" s="55">
        <v>90</v>
      </c>
      <c r="FG25" s="55">
        <v>7.5</v>
      </c>
      <c r="FH25" s="55">
        <v>0.5</v>
      </c>
      <c r="FI25" s="55">
        <v>125</v>
      </c>
      <c r="FJ25" s="55"/>
      <c r="FK25" s="55"/>
      <c r="FL25" s="55"/>
      <c r="FM25" s="55"/>
      <c r="FN25" s="55"/>
      <c r="FO25" s="55"/>
      <c r="FQ25" s="124">
        <v>0</v>
      </c>
      <c r="FR25" s="124">
        <v>411</v>
      </c>
      <c r="FS25" s="124">
        <v>0</v>
      </c>
      <c r="FT25" s="124">
        <v>85.18</v>
      </c>
      <c r="FU25" s="124">
        <v>9.61</v>
      </c>
      <c r="FV25" s="124">
        <v>0</v>
      </c>
      <c r="FW25" s="124">
        <v>133</v>
      </c>
      <c r="FX25" s="124"/>
      <c r="FY25" s="124"/>
      <c r="FZ25" s="124"/>
      <c r="GA25" s="124"/>
      <c r="GB25" s="124"/>
      <c r="GC25" s="124"/>
    </row>
    <row r="26" spans="1:185" x14ac:dyDescent="0.25">
      <c r="A26" s="25">
        <v>25</v>
      </c>
      <c r="B26" s="27" t="s">
        <v>13</v>
      </c>
      <c r="C26" s="10"/>
      <c r="D26" s="10"/>
      <c r="E26" s="10"/>
      <c r="F26" s="10"/>
      <c r="G26" s="10"/>
      <c r="H26" s="10"/>
      <c r="I26" s="10"/>
      <c r="J26" s="10"/>
      <c r="K26" s="10"/>
      <c r="L26" s="10"/>
      <c r="M26" s="10"/>
      <c r="N26" s="10"/>
      <c r="O26" s="10"/>
      <c r="P26" s="10"/>
      <c r="Q26" s="10"/>
      <c r="R26" s="10"/>
      <c r="S26" s="10"/>
      <c r="T26" s="16"/>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5">
        <v>7250</v>
      </c>
      <c r="FD26" s="55">
        <v>4250</v>
      </c>
      <c r="FE26" s="55">
        <v>97.5</v>
      </c>
      <c r="FF26" s="55">
        <v>97.5</v>
      </c>
      <c r="FG26" s="55">
        <v>100000</v>
      </c>
      <c r="FH26" s="55">
        <v>30000</v>
      </c>
      <c r="FI26" s="55">
        <v>10000</v>
      </c>
      <c r="FJ26" s="55">
        <v>400</v>
      </c>
      <c r="FK26" s="55"/>
      <c r="FL26" s="55"/>
      <c r="FM26" s="55"/>
      <c r="FN26" s="55"/>
      <c r="FO26" s="55"/>
      <c r="FQ26" s="124">
        <v>6524</v>
      </c>
      <c r="FR26" s="124">
        <v>4607</v>
      </c>
      <c r="FS26" s="124">
        <v>97.47</v>
      </c>
      <c r="FT26" s="124">
        <v>97.49</v>
      </c>
      <c r="FU26" s="124">
        <v>215032</v>
      </c>
      <c r="FV26" s="124">
        <v>23699</v>
      </c>
      <c r="FW26" s="124">
        <v>17489</v>
      </c>
      <c r="FX26" s="124">
        <v>341</v>
      </c>
      <c r="FY26" s="124"/>
      <c r="FZ26" s="124"/>
      <c r="GA26" s="124"/>
      <c r="GB26" s="124"/>
      <c r="GC26" s="124"/>
    </row>
    <row r="27" spans="1:185" x14ac:dyDescent="0.25">
      <c r="A27" s="25">
        <v>26</v>
      </c>
      <c r="B27" s="27" t="s">
        <v>187</v>
      </c>
      <c r="C27" s="10"/>
      <c r="D27" s="10"/>
      <c r="E27" s="10"/>
      <c r="F27" s="10"/>
      <c r="G27" s="10"/>
      <c r="H27" s="10"/>
      <c r="I27" s="10"/>
      <c r="J27" s="10"/>
      <c r="K27" s="10"/>
      <c r="L27" s="10"/>
      <c r="M27" s="10"/>
      <c r="N27" s="10"/>
      <c r="O27" s="10"/>
      <c r="P27" s="10"/>
      <c r="Q27" s="10"/>
      <c r="R27" s="10"/>
      <c r="S27" s="10"/>
      <c r="T27" s="16"/>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5"/>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51"/>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5">
        <v>2550</v>
      </c>
      <c r="FD27" s="55">
        <v>1215</v>
      </c>
      <c r="FE27" s="55">
        <v>3765</v>
      </c>
      <c r="FF27" s="55">
        <v>15.5</v>
      </c>
      <c r="FG27" s="55">
        <v>3</v>
      </c>
      <c r="FH27" s="55">
        <v>360</v>
      </c>
      <c r="FI27" s="55">
        <v>1.6</v>
      </c>
      <c r="FJ27" s="55"/>
      <c r="FK27" s="55"/>
      <c r="FL27" s="55"/>
      <c r="FM27" s="55"/>
      <c r="FN27" s="55"/>
      <c r="FO27" s="55"/>
      <c r="FQ27" s="124">
        <v>2429</v>
      </c>
      <c r="FR27" s="124">
        <v>1139</v>
      </c>
      <c r="FS27" s="124">
        <v>3568</v>
      </c>
      <c r="FT27" s="124">
        <v>14.47</v>
      </c>
      <c r="FU27" s="124">
        <v>0</v>
      </c>
      <c r="FV27" s="124">
        <v>351</v>
      </c>
      <c r="FW27" s="124">
        <v>1.45</v>
      </c>
      <c r="FX27" s="124"/>
      <c r="FY27" s="124"/>
      <c r="FZ27" s="124"/>
      <c r="GA27" s="124"/>
      <c r="GB27" s="124"/>
      <c r="GC27" s="124"/>
    </row>
    <row r="28" spans="1:185" x14ac:dyDescent="0.25">
      <c r="A28" s="25">
        <v>27</v>
      </c>
      <c r="B28" s="27" t="s">
        <v>500</v>
      </c>
      <c r="C28" s="10"/>
      <c r="D28" s="10"/>
      <c r="E28" s="10"/>
      <c r="F28" s="10"/>
      <c r="G28" s="10"/>
      <c r="H28" s="10"/>
      <c r="I28" s="10"/>
      <c r="J28" s="10"/>
      <c r="K28" s="10"/>
      <c r="L28" s="10"/>
      <c r="M28" s="10"/>
      <c r="N28" s="10"/>
      <c r="O28" s="10"/>
      <c r="P28" s="10"/>
      <c r="Q28" s="10"/>
      <c r="R28" s="10"/>
      <c r="S28" s="10"/>
      <c r="T28" s="16"/>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5">
        <v>7250</v>
      </c>
      <c r="FD28" s="55">
        <v>4500</v>
      </c>
      <c r="FE28" s="55">
        <v>3000</v>
      </c>
      <c r="FF28" s="55">
        <v>1150</v>
      </c>
      <c r="FG28" s="55">
        <v>2.8</v>
      </c>
      <c r="FH28" s="55">
        <v>750</v>
      </c>
      <c r="FI28" s="55">
        <v>1.5</v>
      </c>
      <c r="FJ28" s="55">
        <v>6</v>
      </c>
      <c r="FK28" s="55">
        <v>4</v>
      </c>
      <c r="FL28" s="55">
        <v>3000</v>
      </c>
      <c r="FM28" s="55">
        <v>7.5</v>
      </c>
      <c r="FN28" s="55">
        <v>2750</v>
      </c>
      <c r="FO28" s="55">
        <v>6</v>
      </c>
      <c r="FQ28" s="124">
        <v>7535</v>
      </c>
      <c r="FR28" s="124">
        <v>4436</v>
      </c>
      <c r="FS28" s="124">
        <v>3117</v>
      </c>
      <c r="FT28" s="124">
        <v>1216</v>
      </c>
      <c r="FU28" s="124">
        <v>3.33</v>
      </c>
      <c r="FV28" s="124">
        <v>667</v>
      </c>
      <c r="FW28" s="124">
        <v>1.82</v>
      </c>
      <c r="FX28" s="124">
        <v>7.33</v>
      </c>
      <c r="FY28" s="124">
        <v>4.25</v>
      </c>
      <c r="FZ28" s="124">
        <v>3217</v>
      </c>
      <c r="GA28" s="124">
        <v>8.82</v>
      </c>
      <c r="GB28" s="124">
        <v>2450</v>
      </c>
      <c r="GC28" s="124">
        <v>6.71</v>
      </c>
    </row>
    <row r="29" spans="1:185" s="7" customFormat="1" x14ac:dyDescent="0.25">
      <c r="A29" s="26">
        <v>28</v>
      </c>
      <c r="B29" s="27" t="s">
        <v>232</v>
      </c>
      <c r="C29" s="38"/>
      <c r="D29" s="38"/>
      <c r="E29" s="38"/>
      <c r="F29" s="38"/>
      <c r="G29" s="38"/>
      <c r="H29" s="38"/>
      <c r="I29" s="38"/>
      <c r="J29" s="38"/>
      <c r="K29" s="38"/>
      <c r="L29" s="38"/>
      <c r="M29" s="38"/>
      <c r="N29" s="38"/>
      <c r="O29" s="38"/>
      <c r="P29" s="38"/>
      <c r="Q29" s="38"/>
      <c r="R29" s="38"/>
      <c r="S29" s="38"/>
      <c r="T29" s="50"/>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5">
        <v>58000</v>
      </c>
      <c r="FD29" s="55">
        <v>12000</v>
      </c>
      <c r="FE29" s="55">
        <v>3150</v>
      </c>
      <c r="FF29" s="55">
        <v>13.1</v>
      </c>
      <c r="FG29" s="55">
        <v>10</v>
      </c>
      <c r="FH29" s="55">
        <v>5</v>
      </c>
      <c r="FI29" s="55">
        <v>1500</v>
      </c>
      <c r="FJ29" s="55">
        <v>1350</v>
      </c>
      <c r="FK29" s="55">
        <v>10</v>
      </c>
      <c r="FL29" s="55"/>
      <c r="FM29" s="55"/>
      <c r="FN29" s="55"/>
      <c r="FO29" s="55"/>
      <c r="FQ29" s="124">
        <v>58771</v>
      </c>
      <c r="FR29" s="124">
        <v>11820</v>
      </c>
      <c r="FS29" s="124">
        <v>3052</v>
      </c>
      <c r="FT29" s="124">
        <v>12.38</v>
      </c>
      <c r="FU29" s="124">
        <v>5.83</v>
      </c>
      <c r="FV29" s="124">
        <v>2.17</v>
      </c>
      <c r="FW29" s="124">
        <v>1498.2</v>
      </c>
      <c r="FX29" s="124">
        <v>1422.7</v>
      </c>
      <c r="FY29" s="124">
        <v>7.68</v>
      </c>
      <c r="FZ29" s="124"/>
      <c r="GA29" s="124"/>
      <c r="GB29" s="124"/>
      <c r="GC29" s="124"/>
    </row>
    <row r="30" spans="1:185" x14ac:dyDescent="0.25">
      <c r="A30" s="25">
        <v>29</v>
      </c>
      <c r="B30" s="28">
        <v>911</v>
      </c>
      <c r="C30" s="10"/>
      <c r="D30" s="10"/>
      <c r="E30" s="10"/>
      <c r="F30" s="10"/>
      <c r="G30" s="10"/>
      <c r="H30" s="10"/>
      <c r="I30" s="10"/>
      <c r="J30" s="10"/>
      <c r="K30" s="10"/>
      <c r="L30" s="10"/>
      <c r="M30" s="10"/>
      <c r="N30" s="10"/>
      <c r="O30" s="10"/>
      <c r="P30" s="10"/>
      <c r="Q30" s="10"/>
      <c r="R30" s="10"/>
      <c r="S30" s="10"/>
      <c r="T30" s="16"/>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8"/>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5">
        <v>135000</v>
      </c>
      <c r="FD30" s="55">
        <v>2.25</v>
      </c>
      <c r="FE30" s="55">
        <v>1</v>
      </c>
      <c r="FF30" s="55">
        <v>2.5</v>
      </c>
      <c r="FG30" s="55">
        <v>4.25</v>
      </c>
      <c r="FH30" s="55">
        <v>97</v>
      </c>
      <c r="FI30" s="55"/>
      <c r="FJ30" s="55"/>
      <c r="FK30" s="55"/>
      <c r="FL30" s="55"/>
      <c r="FM30" s="55"/>
      <c r="FN30" s="55"/>
      <c r="FO30" s="55"/>
      <c r="FQ30" s="124">
        <v>140476</v>
      </c>
      <c r="FR30" s="124">
        <v>2.1</v>
      </c>
      <c r="FS30" s="124">
        <v>0.78</v>
      </c>
      <c r="FT30" s="124">
        <v>2.4300000000000002</v>
      </c>
      <c r="FU30" s="124">
        <v>3.99</v>
      </c>
      <c r="FV30" s="124">
        <v>97.85</v>
      </c>
      <c r="FW30" s="124"/>
      <c r="FX30" s="124"/>
      <c r="FY30" s="124"/>
      <c r="FZ30" s="124"/>
      <c r="GA30" s="124"/>
      <c r="GB30" s="124"/>
      <c r="GC30" s="124"/>
    </row>
    <row r="31" spans="1:185"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85"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329</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K54" sqref="K54"/>
    </sheetView>
  </sheetViews>
  <sheetFormatPr defaultRowHeight="13.2" x14ac:dyDescent="0.25"/>
  <cols>
    <col min="1" max="1" width="17.6640625" customWidth="1"/>
    <col min="13" max="14" width="10.109375" bestFit="1" customWidth="1"/>
    <col min="15" max="15" width="14.6640625" customWidth="1"/>
    <col min="16" max="16" width="10.77734375" customWidth="1"/>
    <col min="17" max="17" width="10.109375" customWidth="1"/>
    <col min="18" max="18" width="10.77734375" customWidth="1"/>
    <col min="19" max="19" width="11" customWidth="1"/>
    <col min="20" max="20" width="11.5546875" customWidth="1"/>
    <col min="21" max="21" width="10.21875" customWidth="1"/>
    <col min="22" max="22" width="10.109375" customWidth="1"/>
    <col min="23" max="23" width="11" customWidth="1"/>
    <col min="24" max="24" width="10.109375" customWidth="1"/>
  </cols>
  <sheetData>
    <row r="1" spans="1:25" ht="13.8" thickBot="1" x14ac:dyDescent="0.3">
      <c r="L1" s="77" t="s">
        <v>543</v>
      </c>
      <c r="M1" s="77"/>
      <c r="N1" s="77"/>
      <c r="O1" s="77"/>
      <c r="P1" s="77"/>
      <c r="Q1" s="77"/>
      <c r="R1" s="78"/>
    </row>
    <row r="2" spans="1:25" hidden="1" x14ac:dyDescent="0.25">
      <c r="A2" s="9" t="s">
        <v>233</v>
      </c>
      <c r="L2" s="78"/>
      <c r="M2" s="78"/>
    </row>
    <row r="3" spans="1:25" hidden="1" x14ac:dyDescent="0.25">
      <c r="A3" s="9" t="s">
        <v>334</v>
      </c>
      <c r="L3" s="78"/>
      <c r="M3" s="78"/>
    </row>
    <row r="4" spans="1:25" hidden="1" x14ac:dyDescent="0.25">
      <c r="A4" s="9"/>
      <c r="L4" s="78"/>
      <c r="M4" s="78"/>
    </row>
    <row r="5" spans="1:25" hidden="1" x14ac:dyDescent="0.25">
      <c r="A5" s="31">
        <v>1019353</v>
      </c>
      <c r="L5" s="78"/>
      <c r="M5" s="78"/>
    </row>
    <row r="6" spans="1:25" hidden="1" x14ac:dyDescent="0.25">
      <c r="B6" s="11" t="s">
        <v>347</v>
      </c>
      <c r="C6" s="11" t="s">
        <v>337</v>
      </c>
      <c r="D6" s="11" t="s">
        <v>338</v>
      </c>
      <c r="E6" s="11" t="s">
        <v>339</v>
      </c>
      <c r="F6" s="11" t="s">
        <v>340</v>
      </c>
      <c r="G6" s="11" t="s">
        <v>341</v>
      </c>
      <c r="H6" s="11" t="s">
        <v>342</v>
      </c>
      <c r="I6" s="11" t="s">
        <v>343</v>
      </c>
      <c r="J6" s="11" t="s">
        <v>345</v>
      </c>
      <c r="K6" s="11" t="s">
        <v>344</v>
      </c>
      <c r="L6" s="80" t="s">
        <v>346</v>
      </c>
      <c r="M6" s="80" t="s">
        <v>348</v>
      </c>
      <c r="N6" s="11" t="s">
        <v>349</v>
      </c>
      <c r="O6" s="11" t="s">
        <v>350</v>
      </c>
    </row>
    <row r="7" spans="1:25" hidden="1" x14ac:dyDescent="0.25">
      <c r="A7" s="11" t="s">
        <v>335</v>
      </c>
      <c r="L7" s="78"/>
      <c r="M7" s="78"/>
      <c r="N7" s="30">
        <f>SUM(B7:M7)</f>
        <v>0</v>
      </c>
      <c r="O7" s="30" t="e">
        <f>AVERAGE(B7:M7)*12</f>
        <v>#DIV/0!</v>
      </c>
    </row>
    <row r="8" spans="1:25" hidden="1" x14ac:dyDescent="0.25">
      <c r="A8" s="11" t="s">
        <v>336</v>
      </c>
      <c r="L8" s="78"/>
      <c r="M8" s="78"/>
      <c r="N8" s="30">
        <f>SUM(B8:M8)</f>
        <v>0</v>
      </c>
      <c r="O8" s="30" t="e">
        <f>AVERAGE(B8:M8)*12</f>
        <v>#DIV/0!</v>
      </c>
    </row>
    <row r="9" spans="1:25" hidden="1" x14ac:dyDescent="0.25">
      <c r="L9" s="78"/>
      <c r="M9" s="78"/>
    </row>
    <row r="10" spans="1:25" hidden="1" x14ac:dyDescent="0.25">
      <c r="A10" s="11" t="s">
        <v>351</v>
      </c>
      <c r="B10" t="e">
        <f>SUM(1019353/O7)</f>
        <v>#DIV/0!</v>
      </c>
      <c r="L10" s="78"/>
      <c r="M10" s="78"/>
    </row>
    <row r="11" spans="1:25" hidden="1" x14ac:dyDescent="0.25">
      <c r="A11" s="11" t="s">
        <v>336</v>
      </c>
      <c r="B11" t="e">
        <f>SUM(1019353/O8)</f>
        <v>#DIV/0!</v>
      </c>
      <c r="L11" s="78"/>
      <c r="M11" s="78"/>
    </row>
    <row r="12" spans="1:25" hidden="1" x14ac:dyDescent="0.25">
      <c r="L12" s="78"/>
      <c r="M12" s="78"/>
    </row>
    <row r="13" spans="1:25" hidden="1" x14ac:dyDescent="0.25">
      <c r="L13" s="78"/>
      <c r="M13" s="78"/>
    </row>
    <row r="14" spans="1:25" x14ac:dyDescent="0.25">
      <c r="A14" s="58" t="s">
        <v>359</v>
      </c>
      <c r="B14" s="59"/>
      <c r="C14" s="59"/>
      <c r="D14" s="59"/>
      <c r="E14" s="59"/>
      <c r="F14" s="59"/>
      <c r="G14" s="59"/>
      <c r="H14" s="60"/>
      <c r="I14" s="77" t="s">
        <v>229</v>
      </c>
      <c r="J14" s="77"/>
      <c r="K14" s="78"/>
      <c r="L14" s="83">
        <v>375863</v>
      </c>
      <c r="M14" s="78"/>
      <c r="N14" s="78"/>
      <c r="O14" s="78"/>
      <c r="P14" s="78"/>
      <c r="Q14" s="78"/>
      <c r="R14" s="78"/>
      <c r="S14" s="78"/>
      <c r="T14" s="78"/>
      <c r="U14" s="78"/>
      <c r="V14" s="78"/>
      <c r="W14" s="78"/>
      <c r="X14" s="78"/>
      <c r="Y14" s="78"/>
    </row>
    <row r="15" spans="1:25" x14ac:dyDescent="0.25">
      <c r="A15" s="61"/>
      <c r="B15" s="62"/>
      <c r="C15" s="62"/>
      <c r="D15" s="62"/>
      <c r="E15" s="62"/>
      <c r="F15" s="62"/>
      <c r="G15" s="62"/>
      <c r="H15" s="63"/>
      <c r="I15" s="78"/>
      <c r="J15" s="78"/>
      <c r="K15" s="78"/>
      <c r="L15" s="78"/>
      <c r="M15" s="79" t="s">
        <v>87</v>
      </c>
      <c r="N15" s="79" t="s">
        <v>88</v>
      </c>
      <c r="O15" s="79" t="s">
        <v>89</v>
      </c>
      <c r="P15" s="79" t="s">
        <v>15</v>
      </c>
      <c r="Q15" s="79" t="s">
        <v>16</v>
      </c>
      <c r="R15" s="79" t="s">
        <v>17</v>
      </c>
      <c r="S15" s="79" t="s">
        <v>33</v>
      </c>
      <c r="T15" s="79" t="s">
        <v>34</v>
      </c>
      <c r="U15" s="79" t="s">
        <v>35</v>
      </c>
      <c r="V15" s="79" t="s">
        <v>535</v>
      </c>
      <c r="W15" s="79" t="s">
        <v>534</v>
      </c>
      <c r="X15" s="79" t="s">
        <v>38</v>
      </c>
      <c r="Y15" s="79" t="s">
        <v>349</v>
      </c>
    </row>
    <row r="16" spans="1:25" ht="13.8" thickBot="1" x14ac:dyDescent="0.3">
      <c r="A16" s="61" t="s">
        <v>360</v>
      </c>
      <c r="B16" s="62"/>
      <c r="C16" s="64" t="s">
        <v>562</v>
      </c>
      <c r="D16" s="62"/>
      <c r="E16" s="62"/>
      <c r="F16" s="62"/>
      <c r="G16" s="62"/>
      <c r="H16" s="63"/>
      <c r="I16" s="80" t="s">
        <v>542</v>
      </c>
      <c r="J16" s="78"/>
      <c r="K16" s="78"/>
      <c r="L16" s="78"/>
      <c r="M16" s="81"/>
      <c r="N16" s="78"/>
      <c r="O16" s="78"/>
      <c r="P16" s="78"/>
      <c r="Q16" s="78"/>
      <c r="R16" s="78"/>
      <c r="S16" s="78"/>
      <c r="T16" s="78"/>
      <c r="U16" s="78"/>
      <c r="V16" s="78"/>
      <c r="W16" s="78"/>
      <c r="X16" s="78"/>
      <c r="Y16" s="78"/>
    </row>
    <row r="17" spans="1:25" x14ac:dyDescent="0.25">
      <c r="A17" s="65">
        <v>63944</v>
      </c>
      <c r="B17" s="62"/>
      <c r="C17" s="62"/>
      <c r="D17" s="62"/>
      <c r="E17" s="62"/>
      <c r="F17" s="62"/>
      <c r="G17" s="62"/>
      <c r="H17" s="62"/>
      <c r="I17" s="59"/>
      <c r="J17" s="59"/>
      <c r="K17" s="59"/>
      <c r="L17" s="59"/>
      <c r="M17" s="59"/>
      <c r="N17" s="60"/>
    </row>
    <row r="18" spans="1:25" x14ac:dyDescent="0.25">
      <c r="A18" s="66">
        <v>1291840</v>
      </c>
      <c r="B18" s="75" t="s">
        <v>87</v>
      </c>
      <c r="C18" s="75" t="s">
        <v>88</v>
      </c>
      <c r="D18" s="75" t="s">
        <v>89</v>
      </c>
      <c r="E18" s="75" t="s">
        <v>15</v>
      </c>
      <c r="F18" s="75" t="s">
        <v>16</v>
      </c>
      <c r="G18" s="75" t="s">
        <v>17</v>
      </c>
      <c r="H18" s="75" t="s">
        <v>33</v>
      </c>
      <c r="I18" s="75" t="s">
        <v>34</v>
      </c>
      <c r="J18" s="75" t="s">
        <v>35</v>
      </c>
      <c r="K18" s="75" t="s">
        <v>36</v>
      </c>
      <c r="L18" s="75" t="s">
        <v>534</v>
      </c>
      <c r="M18" s="75" t="s">
        <v>38</v>
      </c>
      <c r="N18" s="76" t="s">
        <v>349</v>
      </c>
    </row>
    <row r="19" spans="1:25" x14ac:dyDescent="0.25">
      <c r="A19" s="67" t="s">
        <v>361</v>
      </c>
      <c r="B19" s="71"/>
      <c r="C19" s="71"/>
      <c r="D19" s="71"/>
      <c r="E19" s="71"/>
      <c r="F19" s="71"/>
      <c r="G19" s="71"/>
      <c r="H19" s="71"/>
      <c r="I19" s="71"/>
      <c r="J19" s="71"/>
      <c r="K19" s="71"/>
      <c r="L19" s="71"/>
      <c r="M19" s="71"/>
      <c r="N19" s="72" t="e">
        <f>AVERAGE(B19:L19)*12</f>
        <v>#DIV/0!</v>
      </c>
    </row>
    <row r="20" spans="1:25" ht="13.8" thickBot="1" x14ac:dyDescent="0.3">
      <c r="A20" s="67" t="s">
        <v>362</v>
      </c>
      <c r="B20" s="71"/>
      <c r="C20" s="71"/>
      <c r="D20" s="71"/>
      <c r="E20" s="71"/>
      <c r="F20" s="71"/>
      <c r="G20" s="71"/>
      <c r="H20" s="71"/>
      <c r="I20" s="73"/>
      <c r="J20" s="73"/>
      <c r="K20" s="73"/>
      <c r="L20" s="73"/>
      <c r="M20" s="73"/>
      <c r="N20" s="74" t="e">
        <f>AVERAGE(B20:L20)*12</f>
        <v>#DIV/0!</v>
      </c>
    </row>
    <row r="21" spans="1:25" x14ac:dyDescent="0.25">
      <c r="A21" s="61"/>
      <c r="B21" s="62"/>
      <c r="C21" s="62"/>
      <c r="D21" s="62"/>
      <c r="E21" s="62"/>
      <c r="F21" s="62"/>
      <c r="G21" s="62"/>
      <c r="H21" s="63"/>
      <c r="I21" s="80" t="s">
        <v>537</v>
      </c>
      <c r="J21" s="78"/>
      <c r="K21" s="78"/>
      <c r="L21" s="78"/>
      <c r="M21" s="84">
        <f>SUM(L14/12)</f>
        <v>31321.916666666668</v>
      </c>
      <c r="N21" s="84">
        <f>SUM(L14/12)</f>
        <v>31321.916666666668</v>
      </c>
      <c r="O21" s="84">
        <f>SUM(L14/12)</f>
        <v>31321.916666666668</v>
      </c>
      <c r="P21" s="84">
        <f>SUM(L14/12)</f>
        <v>31321.916666666668</v>
      </c>
      <c r="Q21" s="84">
        <f>SUM(L14/12)</f>
        <v>31321.916666666668</v>
      </c>
      <c r="R21" s="84">
        <f>SUM(L14/12)</f>
        <v>31321.916666666668</v>
      </c>
      <c r="S21" s="84">
        <f>SUM(L14/12)</f>
        <v>31321.916666666668</v>
      </c>
      <c r="T21" s="84">
        <f>SUM(L14/12)</f>
        <v>31321.916666666668</v>
      </c>
      <c r="U21" s="84">
        <f>SUM(L14/12)</f>
        <v>31321.916666666668</v>
      </c>
      <c r="V21" s="84">
        <f>SUM(L14/12)</f>
        <v>31321.916666666668</v>
      </c>
      <c r="W21" s="84">
        <f>SUM(L14/12)</f>
        <v>31321.916666666668</v>
      </c>
      <c r="X21" s="84">
        <f>SUM(L14/12)</f>
        <v>31321.916666666668</v>
      </c>
      <c r="Y21" s="78"/>
    </row>
    <row r="22" spans="1:25" x14ac:dyDescent="0.25">
      <c r="A22" s="61" t="s">
        <v>363</v>
      </c>
      <c r="B22" s="62"/>
      <c r="C22" s="62"/>
      <c r="D22" s="62"/>
      <c r="E22" s="62"/>
      <c r="F22" s="62" t="e">
        <f>SUM(N19/A17)</f>
        <v>#DIV/0!</v>
      </c>
      <c r="G22" s="62"/>
      <c r="H22" s="63"/>
      <c r="I22" s="80" t="s">
        <v>536</v>
      </c>
      <c r="J22" s="78"/>
      <c r="K22" s="78"/>
      <c r="L22" s="78"/>
      <c r="M22" s="78" t="e">
        <f>SUM(M21)/(M16*21)</f>
        <v>#DIV/0!</v>
      </c>
      <c r="N22" s="78" t="e">
        <f>SUM(N21)/(N16*21)</f>
        <v>#DIV/0!</v>
      </c>
      <c r="O22" s="78" t="e">
        <f>SUM(O21)/(O16*21)</f>
        <v>#DIV/0!</v>
      </c>
      <c r="P22" s="78" t="e">
        <f>SUM(P21)/(P16*21)</f>
        <v>#DIV/0!</v>
      </c>
      <c r="Q22" s="78" t="e">
        <f>SUM(Q21)/(Q16*19)</f>
        <v>#DIV/0!</v>
      </c>
      <c r="R22" s="78" t="e">
        <f>SUM(R21)/(R16*18)</f>
        <v>#DIV/0!</v>
      </c>
      <c r="S22" s="78" t="e">
        <f>SUM(S21)/(S16*18)</f>
        <v>#DIV/0!</v>
      </c>
      <c r="T22" s="78" t="e">
        <f>SUM(T21)/(T16*20)</f>
        <v>#DIV/0!</v>
      </c>
      <c r="U22" s="78" t="e">
        <f>SUM(U21)/(U16*21)</f>
        <v>#DIV/0!</v>
      </c>
      <c r="V22" s="78" t="e">
        <f>SUM(V21)/(V16*21)</f>
        <v>#DIV/0!</v>
      </c>
      <c r="W22" s="78"/>
      <c r="X22" s="78"/>
      <c r="Y22" s="78"/>
    </row>
    <row r="23" spans="1:25" x14ac:dyDescent="0.25">
      <c r="A23" s="61" t="s">
        <v>364</v>
      </c>
      <c r="B23" s="62"/>
      <c r="C23" s="62"/>
      <c r="D23" s="62"/>
      <c r="E23" s="62"/>
      <c r="F23" s="62" t="e">
        <f>SUM(N20/A17)</f>
        <v>#DIV/0!</v>
      </c>
      <c r="G23" s="62"/>
      <c r="H23" s="63"/>
    </row>
    <row r="24" spans="1:25" ht="13.8" thickBot="1" x14ac:dyDescent="0.3">
      <c r="A24" s="68" t="s">
        <v>365</v>
      </c>
      <c r="B24" s="69"/>
      <c r="C24" s="69"/>
      <c r="D24" s="69"/>
      <c r="E24" s="69"/>
      <c r="F24" s="69" t="e">
        <f>SUM(A18/N20)</f>
        <v>#DIV/0!</v>
      </c>
      <c r="G24" s="69"/>
      <c r="H24" s="70"/>
      <c r="I24" s="78"/>
      <c r="J24" s="78"/>
      <c r="K24" s="78"/>
      <c r="L24" s="77" t="s">
        <v>544</v>
      </c>
      <c r="M24" s="77"/>
      <c r="N24" s="77"/>
      <c r="O24" s="83">
        <v>48100</v>
      </c>
      <c r="P24" s="78"/>
      <c r="Q24" s="78"/>
      <c r="R24" s="78"/>
      <c r="S24" s="78"/>
      <c r="T24" s="78"/>
      <c r="U24" s="78"/>
      <c r="V24" s="78"/>
      <c r="W24" s="78"/>
      <c r="X24" s="78"/>
      <c r="Y24" s="78"/>
    </row>
    <row r="25" spans="1:25" x14ac:dyDescent="0.25">
      <c r="I25" s="80" t="s">
        <v>541</v>
      </c>
      <c r="J25" s="78"/>
      <c r="K25" s="78"/>
      <c r="L25" s="78"/>
      <c r="M25" s="81">
        <v>0</v>
      </c>
      <c r="N25" s="81">
        <v>0</v>
      </c>
      <c r="O25" s="81">
        <v>0</v>
      </c>
      <c r="P25" s="81"/>
      <c r="Q25" s="81"/>
      <c r="R25" s="81"/>
      <c r="S25" s="81"/>
      <c r="T25" s="81"/>
      <c r="U25" s="81"/>
      <c r="V25" s="81"/>
      <c r="W25" s="81"/>
      <c r="X25" s="81"/>
      <c r="Y25" s="81"/>
    </row>
    <row r="26" spans="1:25" x14ac:dyDescent="0.25">
      <c r="I26" s="82" t="s">
        <v>537</v>
      </c>
      <c r="J26" s="78"/>
      <c r="K26" s="78"/>
      <c r="L26" s="78"/>
      <c r="M26" s="86">
        <f>SUM(O24/12)</f>
        <v>4008.3333333333335</v>
      </c>
      <c r="N26" s="86">
        <f>SUM(O24/12)</f>
        <v>4008.3333333333335</v>
      </c>
      <c r="O26" s="86">
        <f>SUM(O24/12)</f>
        <v>4008.3333333333335</v>
      </c>
      <c r="P26" s="86">
        <f>SUM(O24/12)</f>
        <v>4008.3333333333335</v>
      </c>
      <c r="Q26" s="86">
        <f>SUM(O24/12)</f>
        <v>4008.3333333333335</v>
      </c>
      <c r="R26" s="86">
        <f>SUM(O24/12)</f>
        <v>4008.3333333333335</v>
      </c>
      <c r="S26" s="86">
        <f>SUM(O24/12)</f>
        <v>4008.3333333333335</v>
      </c>
      <c r="T26" s="86">
        <f>SUM(O24/12)</f>
        <v>4008.3333333333335</v>
      </c>
      <c r="U26" s="86">
        <f>SUM(O24/12)</f>
        <v>4008.3333333333335</v>
      </c>
      <c r="V26" s="86">
        <f>SUM(O24/12)</f>
        <v>4008.3333333333335</v>
      </c>
      <c r="W26" s="86">
        <f>SUM(O24/12)</f>
        <v>4008.3333333333335</v>
      </c>
      <c r="X26" s="86">
        <f>SUM(O24/12)</f>
        <v>4008.3333333333335</v>
      </c>
      <c r="Y26" s="86"/>
    </row>
    <row r="27" spans="1:25" x14ac:dyDescent="0.25">
      <c r="I27" s="82" t="s">
        <v>536</v>
      </c>
      <c r="J27" s="78"/>
      <c r="K27" s="78"/>
      <c r="L27" s="78"/>
      <c r="M27" s="81"/>
      <c r="N27" s="81"/>
      <c r="O27" s="81"/>
      <c r="P27" s="85" t="e">
        <f>SUM(P26)/(P25*13)</f>
        <v>#DIV/0!</v>
      </c>
      <c r="Q27" s="85" t="e">
        <f>SUM(Q26)/(Q25*19)</f>
        <v>#DIV/0!</v>
      </c>
      <c r="R27" s="85" t="e">
        <f>SUM(R26)/(R25*19)</f>
        <v>#DIV/0!</v>
      </c>
      <c r="S27" s="85" t="e">
        <f>SUM(S26)/(S25*19)</f>
        <v>#DIV/0!</v>
      </c>
      <c r="T27" s="85" t="e">
        <f>SUM(T26)/(T25*19)</f>
        <v>#DIV/0!</v>
      </c>
      <c r="U27" s="85" t="e">
        <f>SUM(U26)/(U25*21)</f>
        <v>#DIV/0!</v>
      </c>
      <c r="V27" s="85" t="e">
        <f>SUM(V26)/(V25*21)</f>
        <v>#DIV/0!</v>
      </c>
      <c r="W27" s="81"/>
      <c r="X27" s="81"/>
      <c r="Y27" s="81"/>
    </row>
    <row r="29" spans="1:25" x14ac:dyDescent="0.25">
      <c r="A29" t="s">
        <v>379</v>
      </c>
      <c r="B29" t="s">
        <v>381</v>
      </c>
      <c r="C29" t="s">
        <v>34</v>
      </c>
      <c r="D29" t="s">
        <v>35</v>
      </c>
      <c r="E29" t="s">
        <v>36</v>
      </c>
      <c r="F29" t="s">
        <v>37</v>
      </c>
      <c r="G29" t="s">
        <v>38</v>
      </c>
      <c r="H29" t="s">
        <v>87</v>
      </c>
      <c r="I29" t="s">
        <v>88</v>
      </c>
      <c r="J29" t="s">
        <v>89</v>
      </c>
      <c r="K29" t="s">
        <v>15</v>
      </c>
      <c r="L29" t="s">
        <v>16</v>
      </c>
      <c r="M29" t="s">
        <v>17</v>
      </c>
      <c r="N29" t="s">
        <v>383</v>
      </c>
    </row>
    <row r="30" spans="1:25" x14ac:dyDescent="0.25">
      <c r="A30" t="s">
        <v>380</v>
      </c>
      <c r="N30">
        <f t="shared" ref="N30" si="0">SUM(B30:M30)</f>
        <v>0</v>
      </c>
    </row>
    <row r="31" spans="1:25" x14ac:dyDescent="0.25">
      <c r="O31" s="32" t="e">
        <f>SUM(N32/N30)</f>
        <v>#DIV/0!</v>
      </c>
    </row>
    <row r="32" spans="1:25" x14ac:dyDescent="0.25">
      <c r="A32" t="s">
        <v>382</v>
      </c>
      <c r="B32" s="7"/>
      <c r="N32">
        <f>SUM(B32:M32)</f>
        <v>0</v>
      </c>
      <c r="T32">
        <v>5</v>
      </c>
    </row>
    <row r="34" spans="1:16" x14ac:dyDescent="0.25">
      <c r="P34" t="s">
        <v>495</v>
      </c>
    </row>
    <row r="35" spans="1:16" x14ac:dyDescent="0.25">
      <c r="A35" s="11" t="s">
        <v>401</v>
      </c>
      <c r="B35" t="s">
        <v>381</v>
      </c>
      <c r="C35" t="s">
        <v>34</v>
      </c>
      <c r="D35" t="s">
        <v>35</v>
      </c>
      <c r="E35" t="s">
        <v>36</v>
      </c>
      <c r="F35" t="s">
        <v>37</v>
      </c>
      <c r="G35" t="s">
        <v>38</v>
      </c>
      <c r="H35" t="s">
        <v>87</v>
      </c>
      <c r="I35" t="s">
        <v>88</v>
      </c>
      <c r="J35" t="s">
        <v>89</v>
      </c>
      <c r="K35" t="s">
        <v>15</v>
      </c>
      <c r="L35" t="s">
        <v>16</v>
      </c>
      <c r="M35" t="s">
        <v>17</v>
      </c>
      <c r="N35" t="s">
        <v>383</v>
      </c>
    </row>
    <row r="36" spans="1:16" x14ac:dyDescent="0.25">
      <c r="A36" s="11" t="s">
        <v>447</v>
      </c>
      <c r="N36">
        <f>SUM(B36:M36)</f>
        <v>0</v>
      </c>
    </row>
    <row r="37" spans="1:16" x14ac:dyDescent="0.25">
      <c r="O37" s="32" t="e">
        <f>SUM(N38/N36)</f>
        <v>#DIV/0!</v>
      </c>
    </row>
    <row r="38" spans="1:16" x14ac:dyDescent="0.25">
      <c r="A38" s="11" t="s">
        <v>402</v>
      </c>
      <c r="N38">
        <f>SUM(B38:M38)</f>
        <v>0</v>
      </c>
    </row>
    <row r="40" spans="1:16" x14ac:dyDescent="0.25">
      <c r="A40" t="s">
        <v>389</v>
      </c>
      <c r="B40" t="s">
        <v>390</v>
      </c>
    </row>
    <row r="41" spans="1:16" x14ac:dyDescent="0.25">
      <c r="B41" t="s">
        <v>391</v>
      </c>
    </row>
    <row r="43" spans="1:16" x14ac:dyDescent="0.25">
      <c r="B43" t="s">
        <v>381</v>
      </c>
      <c r="C43" t="s">
        <v>34</v>
      </c>
      <c r="D43" t="s">
        <v>35</v>
      </c>
      <c r="E43" t="s">
        <v>36</v>
      </c>
      <c r="F43" t="s">
        <v>37</v>
      </c>
      <c r="G43" t="s">
        <v>38</v>
      </c>
      <c r="H43" t="s">
        <v>87</v>
      </c>
      <c r="I43" t="s">
        <v>88</v>
      </c>
      <c r="J43" t="s">
        <v>89</v>
      </c>
      <c r="K43" t="s">
        <v>15</v>
      </c>
      <c r="L43" t="s">
        <v>16</v>
      </c>
      <c r="M43" t="s">
        <v>17</v>
      </c>
      <c r="N43" t="s">
        <v>383</v>
      </c>
    </row>
    <row r="44" spans="1:16" x14ac:dyDescent="0.25">
      <c r="A44" s="41" t="s">
        <v>440</v>
      </c>
    </row>
    <row r="45" spans="1:16" x14ac:dyDescent="0.25">
      <c r="A45" t="s">
        <v>441</v>
      </c>
      <c r="B45" s="10"/>
      <c r="C45" s="10"/>
      <c r="D45" s="10"/>
      <c r="E45" s="10"/>
      <c r="F45" s="10"/>
      <c r="G45" s="10"/>
      <c r="H45" s="10"/>
      <c r="I45" s="10"/>
      <c r="J45" s="10"/>
      <c r="K45" s="10"/>
      <c r="L45" s="10"/>
      <c r="M45" s="10"/>
      <c r="N45" s="10">
        <f>SUM(B45:M45)</f>
        <v>0</v>
      </c>
      <c r="O45" s="42" t="e">
        <f>SUM(N46*12)/440</f>
        <v>#DIV/0!</v>
      </c>
      <c r="P45" t="s">
        <v>442</v>
      </c>
    </row>
    <row r="46" spans="1:16" x14ac:dyDescent="0.25">
      <c r="B46" s="10"/>
      <c r="C46" s="10"/>
      <c r="D46" s="10"/>
      <c r="E46" s="10"/>
      <c r="F46" s="10"/>
      <c r="G46" s="10"/>
      <c r="H46" s="10"/>
      <c r="I46" s="10"/>
      <c r="J46" s="10"/>
      <c r="K46" s="10"/>
      <c r="L46" s="10"/>
      <c r="M46" t="s">
        <v>443</v>
      </c>
      <c r="N46" s="10" t="e">
        <f>AVERAGE(B45:M45)</f>
        <v>#DIV/0!</v>
      </c>
      <c r="O46" s="42"/>
    </row>
    <row r="47" spans="1:16" x14ac:dyDescent="0.25">
      <c r="A47" s="11" t="s">
        <v>520</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445</v>
      </c>
      <c r="B49" s="10"/>
      <c r="C49" s="10"/>
      <c r="D49" s="10"/>
      <c r="E49" s="10"/>
      <c r="F49" s="10"/>
      <c r="G49" s="10"/>
      <c r="H49" s="10"/>
      <c r="I49" s="10"/>
      <c r="J49" s="10"/>
      <c r="K49" s="10"/>
      <c r="L49" s="10"/>
      <c r="M49" s="10"/>
      <c r="N49" s="10">
        <f>SUM(B49:M49)</f>
        <v>0</v>
      </c>
      <c r="O49" s="42"/>
    </row>
    <row r="50" spans="1:16" x14ac:dyDescent="0.25">
      <c r="M50" t="s">
        <v>443</v>
      </c>
      <c r="N50" s="10" t="e">
        <f>AVERAGE(B49:M49)</f>
        <v>#DIV/0!</v>
      </c>
      <c r="O50" s="42" t="e">
        <f>SUM(N50*12)/440</f>
        <v>#DIV/0!</v>
      </c>
      <c r="P50" t="s">
        <v>446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466</v>
      </c>
      <c r="B1" s="25"/>
      <c r="C1" s="25"/>
      <c r="D1" s="25"/>
      <c r="E1" s="25"/>
      <c r="F1" s="25"/>
      <c r="G1" s="25"/>
      <c r="H1" s="25"/>
      <c r="I1" s="25" t="s">
        <v>465</v>
      </c>
      <c r="J1" s="25"/>
      <c r="K1" s="25"/>
      <c r="L1" s="25"/>
      <c r="M1" s="25"/>
      <c r="N1" s="25"/>
      <c r="O1" s="25"/>
    </row>
    <row r="2" spans="1:28" x14ac:dyDescent="0.25">
      <c r="A2" s="43" t="s">
        <v>452</v>
      </c>
      <c r="B2" s="43">
        <v>1</v>
      </c>
      <c r="C2" s="43">
        <v>2</v>
      </c>
      <c r="D2" s="43">
        <v>3</v>
      </c>
      <c r="E2" s="43">
        <v>4</v>
      </c>
      <c r="F2" s="43">
        <v>5</v>
      </c>
      <c r="G2" s="43">
        <v>6</v>
      </c>
      <c r="H2" s="43">
        <v>7</v>
      </c>
      <c r="I2" s="43">
        <v>8</v>
      </c>
      <c r="J2" s="43">
        <v>9</v>
      </c>
      <c r="K2" s="43">
        <v>10</v>
      </c>
      <c r="L2" s="43">
        <v>11</v>
      </c>
      <c r="M2" s="43">
        <v>12</v>
      </c>
      <c r="N2" s="43">
        <v>13</v>
      </c>
      <c r="O2" s="25"/>
    </row>
    <row r="3" spans="1:28" x14ac:dyDescent="0.25">
      <c r="A3" s="25" t="s">
        <v>450</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453</v>
      </c>
      <c r="B6" s="25">
        <v>38674</v>
      </c>
      <c r="C6" s="25">
        <v>31798</v>
      </c>
      <c r="D6" s="25">
        <v>1270</v>
      </c>
      <c r="E6" s="25">
        <v>1538</v>
      </c>
      <c r="F6" s="25">
        <v>17.5</v>
      </c>
      <c r="G6" s="25">
        <v>48.4</v>
      </c>
      <c r="H6" s="25">
        <v>5</v>
      </c>
      <c r="I6" s="25">
        <v>182</v>
      </c>
      <c r="J6" s="25"/>
      <c r="K6" s="25"/>
      <c r="L6" s="25"/>
      <c r="M6" s="25"/>
      <c r="N6" s="25"/>
      <c r="O6" s="25"/>
    </row>
    <row r="7" spans="1:28" x14ac:dyDescent="0.25">
      <c r="A7" s="25" t="s">
        <v>424</v>
      </c>
      <c r="B7" s="25">
        <v>11412</v>
      </c>
      <c r="C7" s="25">
        <v>3.07</v>
      </c>
      <c r="D7" s="25">
        <v>1731</v>
      </c>
      <c r="E7" s="25">
        <v>0.46</v>
      </c>
      <c r="F7" s="25">
        <v>133</v>
      </c>
      <c r="G7" s="25"/>
      <c r="H7" s="25"/>
      <c r="I7" s="25"/>
      <c r="J7" s="25"/>
      <c r="K7" s="25"/>
      <c r="L7" s="25"/>
      <c r="M7" s="25"/>
      <c r="N7" s="25"/>
      <c r="O7" s="25"/>
    </row>
    <row r="8" spans="1:28" x14ac:dyDescent="0.25">
      <c r="A8" s="25" t="s">
        <v>454</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455</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456</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457</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430</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458</v>
      </c>
      <c r="B19" s="25">
        <v>15</v>
      </c>
      <c r="C19" s="25">
        <v>11</v>
      </c>
      <c r="D19" s="25">
        <v>11</v>
      </c>
      <c r="E19" s="25">
        <v>1</v>
      </c>
      <c r="F19" s="25">
        <v>7.1</v>
      </c>
      <c r="G19" s="25">
        <v>0</v>
      </c>
      <c r="H19" s="25">
        <v>745</v>
      </c>
      <c r="I19" s="25"/>
      <c r="J19" s="25"/>
      <c r="K19" s="25"/>
      <c r="L19" s="25"/>
      <c r="M19" s="25"/>
      <c r="N19" s="25"/>
      <c r="O19" s="25"/>
    </row>
    <row r="20" spans="1:15" x14ac:dyDescent="0.25">
      <c r="A20" s="25" t="s">
        <v>459</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460</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467</v>
      </c>
      <c r="B34" s="25"/>
      <c r="C34" s="25"/>
      <c r="D34" s="25"/>
      <c r="E34" s="25"/>
      <c r="F34" s="25"/>
      <c r="G34" s="25"/>
      <c r="H34" s="25"/>
      <c r="I34" s="25" t="s">
        <v>451</v>
      </c>
      <c r="J34" s="25"/>
      <c r="K34" s="25"/>
      <c r="L34" s="25"/>
      <c r="M34" s="25"/>
      <c r="N34" s="25"/>
      <c r="O34" s="25"/>
    </row>
    <row r="35" spans="1:15" x14ac:dyDescent="0.25">
      <c r="A35" s="43" t="s">
        <v>452</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450</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453</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424</v>
      </c>
      <c r="B40" s="25">
        <v>11756</v>
      </c>
      <c r="C40" s="25">
        <v>3.1</v>
      </c>
      <c r="D40" s="25">
        <v>2065</v>
      </c>
      <c r="E40" s="25">
        <v>0.55000000000000004</v>
      </c>
      <c r="F40" s="25">
        <v>59</v>
      </c>
      <c r="G40" s="25"/>
      <c r="H40" s="25"/>
      <c r="I40" s="25"/>
      <c r="J40" s="25"/>
      <c r="K40" s="25"/>
      <c r="L40" s="25"/>
      <c r="M40" s="25"/>
      <c r="N40" s="25"/>
      <c r="O40" s="25"/>
    </row>
    <row r="41" spans="1:15" x14ac:dyDescent="0.25">
      <c r="A41" s="25" t="s">
        <v>454</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455</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456</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457</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430</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458</v>
      </c>
      <c r="B52" s="25">
        <v>23</v>
      </c>
      <c r="C52" s="25">
        <v>21</v>
      </c>
      <c r="D52" s="25">
        <v>19</v>
      </c>
      <c r="E52" s="25">
        <v>17</v>
      </c>
      <c r="F52" s="25">
        <v>0</v>
      </c>
      <c r="G52" s="25">
        <v>0</v>
      </c>
      <c r="H52" s="25">
        <v>0</v>
      </c>
      <c r="I52" s="25">
        <v>1945</v>
      </c>
      <c r="J52" s="25"/>
      <c r="K52" s="25"/>
      <c r="L52" s="25"/>
      <c r="M52" s="25"/>
      <c r="N52" s="25"/>
      <c r="O52" s="25"/>
    </row>
    <row r="53" spans="1:15" x14ac:dyDescent="0.25">
      <c r="A53" s="25" t="s">
        <v>459</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460</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473</v>
      </c>
      <c r="B67" s="25"/>
      <c r="C67" s="25"/>
      <c r="D67" s="25"/>
      <c r="E67" s="25"/>
      <c r="F67" s="25"/>
      <c r="G67" s="25"/>
      <c r="H67" s="25"/>
      <c r="I67" s="25" t="s">
        <v>472</v>
      </c>
      <c r="J67" s="25"/>
      <c r="K67" s="25"/>
      <c r="L67" s="25"/>
      <c r="M67" s="25"/>
      <c r="N67" s="25"/>
      <c r="O67" s="25"/>
    </row>
    <row r="68" spans="1:15" x14ac:dyDescent="0.25">
      <c r="A68" s="43" t="s">
        <v>452</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450</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453</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424</v>
      </c>
      <c r="B73" s="25">
        <v>12252</v>
      </c>
      <c r="C73" s="25">
        <v>3.3</v>
      </c>
      <c r="D73" s="25">
        <v>2297</v>
      </c>
      <c r="E73" s="25">
        <v>0.62</v>
      </c>
      <c r="F73" s="25">
        <v>47.5</v>
      </c>
      <c r="G73" s="25"/>
      <c r="H73" s="25"/>
      <c r="I73" s="25"/>
      <c r="J73" s="25"/>
      <c r="K73" s="25"/>
      <c r="L73" s="25"/>
      <c r="M73" s="25"/>
      <c r="N73" s="25"/>
      <c r="O73" s="25"/>
    </row>
    <row r="74" spans="1:15" x14ac:dyDescent="0.25">
      <c r="A74" s="25" t="s">
        <v>454</v>
      </c>
      <c r="B74" s="25"/>
      <c r="C74" s="25"/>
      <c r="D74" s="25"/>
      <c r="E74" s="25"/>
      <c r="F74" s="25"/>
      <c r="G74" s="25"/>
      <c r="H74" s="25"/>
      <c r="I74" s="25"/>
      <c r="J74" s="25"/>
      <c r="K74" s="25"/>
      <c r="L74" s="25"/>
      <c r="M74" s="25"/>
      <c r="N74" s="25"/>
      <c r="O74" s="25"/>
    </row>
    <row r="75" spans="1:15" x14ac:dyDescent="0.25">
      <c r="A75" s="25" t="s">
        <v>455</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456</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457</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430</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458</v>
      </c>
      <c r="B85" s="25">
        <v>14</v>
      </c>
      <c r="C85" s="25">
        <v>14</v>
      </c>
      <c r="D85" s="25">
        <v>15</v>
      </c>
      <c r="E85" s="25">
        <v>14</v>
      </c>
      <c r="F85" s="25">
        <v>0</v>
      </c>
      <c r="G85" s="25">
        <v>0</v>
      </c>
      <c r="H85" s="25">
        <v>1240</v>
      </c>
      <c r="I85" s="25">
        <v>3.3</v>
      </c>
      <c r="J85" s="25">
        <v>3.3</v>
      </c>
      <c r="K85" s="25"/>
      <c r="L85" s="25"/>
      <c r="M85" s="25"/>
      <c r="N85" s="25"/>
      <c r="O85" s="25"/>
    </row>
    <row r="86" spans="1:15" x14ac:dyDescent="0.25">
      <c r="A86" s="25" t="s">
        <v>459</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460</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491</v>
      </c>
      <c r="B101" s="25"/>
      <c r="C101" s="25"/>
      <c r="D101" s="25"/>
      <c r="E101" s="25"/>
      <c r="F101" s="25"/>
      <c r="G101" s="25"/>
      <c r="H101" s="25"/>
      <c r="I101" s="25" t="s">
        <v>490</v>
      </c>
      <c r="J101" s="25"/>
      <c r="K101" s="25"/>
      <c r="L101" s="25"/>
      <c r="M101" s="25"/>
      <c r="N101" s="25"/>
      <c r="O101" s="25"/>
    </row>
    <row r="102" spans="1:15" x14ac:dyDescent="0.25">
      <c r="A102" s="43" t="s">
        <v>452</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450</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453</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424</v>
      </c>
      <c r="B107" s="25">
        <v>11609</v>
      </c>
      <c r="C107" s="25">
        <v>3.15</v>
      </c>
      <c r="D107" s="25">
        <v>2504</v>
      </c>
      <c r="E107" s="25">
        <v>0.68</v>
      </c>
      <c r="F107" s="25">
        <v>32.1</v>
      </c>
      <c r="G107" s="25"/>
      <c r="H107" s="25"/>
      <c r="I107" s="25"/>
      <c r="J107" s="25"/>
      <c r="K107" s="25"/>
      <c r="L107" s="25"/>
      <c r="M107" s="25"/>
      <c r="N107" s="25"/>
      <c r="O107" s="25"/>
    </row>
    <row r="108" spans="1:15" x14ac:dyDescent="0.25">
      <c r="A108" s="25" t="s">
        <v>454</v>
      </c>
      <c r="B108" s="25"/>
      <c r="C108" s="25"/>
      <c r="D108" s="25"/>
      <c r="E108" s="25"/>
      <c r="F108" s="25"/>
      <c r="G108" s="25"/>
      <c r="H108" s="25"/>
      <c r="I108" s="25"/>
      <c r="J108" s="25"/>
      <c r="K108" s="25"/>
      <c r="L108" s="25"/>
      <c r="M108" s="25"/>
      <c r="N108" s="25"/>
      <c r="O108" s="25"/>
    </row>
    <row r="109" spans="1:15" x14ac:dyDescent="0.25">
      <c r="A109" s="25" t="s">
        <v>455</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456</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457</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430</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458</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459</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460</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492</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002A8D-890E-43A8-BD6D-0CE9268F95AE}">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5D339-E37B-4940-BD2F-E6F55C6CA6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2019-07-17T12:26:53Z</cp:lastPrinted>
  <dcterms:created xsi:type="dcterms:W3CDTF">2006-08-14T17:37:49Z</dcterms:created>
  <dcterms:modified xsi:type="dcterms:W3CDTF">2019-07-17T18:35:51Z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