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08" windowWidth="11352" windowHeight="748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T27" i="4" l="1"/>
  <c r="T22" i="4"/>
  <c r="S22" i="4" l="1"/>
  <c r="S27" i="4"/>
  <c r="R27" i="4" l="1"/>
  <c r="R22" i="4"/>
  <c r="Q22" i="4"/>
  <c r="R21" i="4"/>
  <c r="Q21" i="4"/>
  <c r="P21" i="4"/>
  <c r="O21" i="4"/>
  <c r="N21" i="4"/>
  <c r="M21" i="4"/>
  <c r="P22" i="4" l="1"/>
  <c r="Q27" i="4" l="1"/>
  <c r="P27" i="4"/>
  <c r="O22" i="4" l="1"/>
  <c r="N22" i="4" l="1"/>
  <c r="M22" i="4" l="1"/>
  <c r="N20" i="4"/>
  <c r="N19" i="4"/>
  <c r="G18" i="1" l="1"/>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<sst xmlns="http://schemas.openxmlformats.org/spreadsheetml/2006/main" count="771" uniqueCount="553">
  <si>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</si>
  <si>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</si>
  <si>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</si>
  <si>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</si>
  <si>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</si>
  <si>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</si>
  <si>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</si>
  <si>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</si>
  <si>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</si>
  <si>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</si>
  <si>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</si>
  <si>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</si>
  <si>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</si>
  <si>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</si>
  <si>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</si>
  <si>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</si>
  <si>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</si>
  <si>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</si>
  <si>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</si>
  <si>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</si>
  <si>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</si>
  <si>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</si>
  <si>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</si>
  <si>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</si>
  <si>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</si>
  <si>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</si>
  <si>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</si>
  <si>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</si>
  <si>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</si>
  <si>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</si>
  <si>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</si>
  <si>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</si>
  <si>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</si>
  <si>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</si>
  <si>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</si>
  <si>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</si>
  <si>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</si>
  <si>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</si>
  <si>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</si>
  <si>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</si>
  <si>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</si>
  <si>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</si>
  <si>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</si>
  <si>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</si>
  <si>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</si>
  <si>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</si>
  <si>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</si>
  <si>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</si>
  <si>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</si>
  <si>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</si>
  <si>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</si>
  <si>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</si>
  <si>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</si>
  <si>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</si>
  <si>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</si>
  <si>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</si>
  <si>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</si>
  <si>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</si>
  <si>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</si>
  <si>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</si>
  <si>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</si>
  <si>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</si>
  <si>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</si>
  <si>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</si>
  <si>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</si>
  <si>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</si>
  <si>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</si>
  <si>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</si>
  <si>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</si>
  <si>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</si>
  <si>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</si>
  <si>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</si>
  <si>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</si>
  <si>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</si>
  <si>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</si>
  <si>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</si>
  <si>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</si>
  <si>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</si>
  <si>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</si>
  <si>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</si>
  <si>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</si>
  <si>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</si>
  <si>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</si>
  <si>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</si>
  <si>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</si>
  <si>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</si>
  <si>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</si>
  <si>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</si>
  <si>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</si>
  <si>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</si>
  <si>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</si>
  <si>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</si>
  <si>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</si>
  <si>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</si>
  <si>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</si>
  <si>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</si>
  <si>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</si>
  <si>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</si>
  <si>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</si>
  <si>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</si>
  <si>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</si>
  <si>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</si>
  <si>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</si>
  <si>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</si>
  <si>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</si>
  <si>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</si>
  <si>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</si>
  <si>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</si>
  <si>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</si>
  <si>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</si>
  <si>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</si>
  <si>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</si>
  <si>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</si>
  <si>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</si>
  <si>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</si>
  <si>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</si>
  <si>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</si>
  <si>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</si>
  <si>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</si>
  <si>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</si>
  <si>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</si>
  <si>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</si>
  <si>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</si>
  <si>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</si>
  <si>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</si>
  <si>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</si>
  <si>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</si>
  <si>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</si>
  <si>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</si>
  <si>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</si>
  <si>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</si>
  <si>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</si>
  <si>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</si>
  <si>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</si>
  <si>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</si>
  <si>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</si>
  <si>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</si>
  <si>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</si>
  <si>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</si>
  <si>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</si>
  <si>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</si>
  <si>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</si>
  <si>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</si>
  <si>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</si>
  <si>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</si>
  <si>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</si>
  <si>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</si>
  <si>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</si>
  <si>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</si>
  <si>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</si>
  <si>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</si>
  <si>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</si>
  <si>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</si>
  <si>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</si>
  <si>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</si>
  <si>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</si>
  <si>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</si>
  <si>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</si>
  <si>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</si>
  <si>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</si>
  <si>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</si>
  <si>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</si>
  <si>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</si>
  <si>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</si>
  <si>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</si>
  <si>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</si>
  <si>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</si>
  <si>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</si>
  <si>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</si>
  <si>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</si>
  <si>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</si>
  <si>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</si>
  <si>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</si>
  <si>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</si>
  <si>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</si>
  <si>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</si>
  <si>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</si>
  <si>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</si>
  <si>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</si>
  <si>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</si>
  <si>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</si>
  <si>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</si>
  <si>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</si>
  <si>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</si>
  <si>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</si>
  <si>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</si>
  <si>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</si>
  <si>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</si>
  <si>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</si>
  <si>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</si>
  <si>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</si>
  <si>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</si>
  <si>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</si>
  <si>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</si>
  <si>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</si>
  <si>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</si>
  <si>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</si>
  <si>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</si>
  <si>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</si>
  <si>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</si>
  <si>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</si>
  <si>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</si>
  <si>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</si>
  <si>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</si>
  <si>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</si>
  <si>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</si>
  <si>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</si>
  <si>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</si>
  <si>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</si>
  <si>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</si>
  <si>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</si>
  <si>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</si>
  <si>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</si>
  <si>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</si>
  <si>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</si>
  <si>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</si>
  <si>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</si>
  <si>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</si>
  <si>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</si>
  <si>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</si>
  <si>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</si>
  <si>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</si>
  <si>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</si>
  <si>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</si>
  <si>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</si>
  <si>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</si>
  <si>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</si>
  <si>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</si>
  <si>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</si>
  <si>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</si>
  <si>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</si>
  <si>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</si>
  <si>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</si>
  <si>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</si>
  <si>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</si>
  <si>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</si>
  <si>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</si>
  <si>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</si>
  <si>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</si>
  <si>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</si>
  <si>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</si>
  <si>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</si>
  <si>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</si>
  <si>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</si>
  <si>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</si>
  <si>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</si>
  <si>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</si>
  <si>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</si>
  <si>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</si>
  <si>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</si>
  <si>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</si>
  <si>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</si>
  <si>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</si>
  <si>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</si>
  <si>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</si>
  <si>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</si>
  <si>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</si>
  <si>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</si>
  <si>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</si>
  <si>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</si>
  <si>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</si>
  <si>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</si>
  <si>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</si>
  <si>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</si>
  <si>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</si>
  <si>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</si>
  <si>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</si>
  <si>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</si>
  <si>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</si>
  <si>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</si>
  <si>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</si>
  <si>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</si>
  <si>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</si>
  <si>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</si>
  <si>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</si>
  <si>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</si>
  <si>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</si>
  <si>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</si>
  <si>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</si>
  <si>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</si>
  <si>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</si>
  <si>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</si>
  <si>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</si>
  <si>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</si>
  <si>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</si>
  <si>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</si>
  <si>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</si>
  <si>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</si>
  <si>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</si>
  <si>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</si>
  <si>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</si>
  <si>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</si>
  <si>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</si>
  <si>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</si>
  <si>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</si>
  <si>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</si>
  <si>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</si>
  <si>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</si>
  <si>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</si>
  <si>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</si>
  <si>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</si>
  <si>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</si>
  <si>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</si>
  <si>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</si>
  <si>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</si>
  <si>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</si>
  <si>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</si>
  <si>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</si>
  <si>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</si>
  <si>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</si>
  <si>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</si>
  <si>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</si>
  <si>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</si>
  <si>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</si>
  <si>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</si>
  <si>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</si>
  <si>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</si>
  <si>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</si>
  <si>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</si>
  <si>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</si>
  <si>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</si>
  <si>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</si>
  <si>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</si>
  <si>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</si>
  <si>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</si>
  <si>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</si>
  <si>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</si>
  <si>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</si>
  <si>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</si>
  <si>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</si>
  <si>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</si>
  <si>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</si>
  <si>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</si>
  <si>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</si>
  <si>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</si>
  <si>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</si>
  <si>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</si>
  <si>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</si>
  <si>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</si>
  <si>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</si>
  <si>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</si>
  <si>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</si>
  <si>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</si>
  <si>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</si>
  <si>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</si>
  <si>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</si>
  <si>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</si>
  <si>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</si>
  <si>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</si>
  <si>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</si>
  <si>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</si>
  <si>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</si>
  <si>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</si>
  <si>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</si>
  <si>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</si>
  <si>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</si>
  <si>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</si>
  <si>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</si>
  <si>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</si>
  <si>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</si>
  <si>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</si>
  <si>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</si>
  <si>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</si>
  <si>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</si>
  <si>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</si>
  <si>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</si>
  <si>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</si>
  <si>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</si>
  <si>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</si>
  <si>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</si>
  <si>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</si>
  <si>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</si>
  <si>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</si>
  <si>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</si>
  <si>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</si>
  <si>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</si>
  <si>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</si>
  <si>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</si>
  <si>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</si>
  <si>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</si>
  <si>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</si>
  <si>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</si>
  <si>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</si>
  <si>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</si>
  <si>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</si>
  <si>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</si>
  <si>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</si>
  <si>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</si>
  <si>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</si>
  <si>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</si>
  <si>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</si>
  <si>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</si>
  <si>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</si>
  <si>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</si>
  <si>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</si>
  <si>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</si>
  <si>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</si>
  <si>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</si>
  <si>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</si>
  <si>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</si>
  <si>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</si>
  <si>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</si>
  <si>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</si>
  <si>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</si>
  <si>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</si>
  <si>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</si>
  <si>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</si>
  <si>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</si>
  <si>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</si>
  <si>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</si>
  <si>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</si>
  <si>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</si>
  <si>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</si>
  <si>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</si>
  <si>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</si>
  <si>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</si>
  <si>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</si>
  <si>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</si>
  <si>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</si>
  <si>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</si>
  <si>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</si>
  <si>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</si>
  <si>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</si>
  <si>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</si>
  <si>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</si>
  <si>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</si>
  <si>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</si>
  <si>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</si>
  <si>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</si>
  <si>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</si>
  <si>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</si>
  <si>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</si>
  <si>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</si>
  <si>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</si>
  <si>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</si>
  <si>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</si>
  <si>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</si>
  <si>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</si>
  <si>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</si>
  <si>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</si>
  <si>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</si>
  <si>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</si>
  <si>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</si>
  <si>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</si>
  <si>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</si>
  <si>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</si>
  <si>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</si>
  <si>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</si>
  <si>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</si>
  <si>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</si>
  <si>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</si>
  <si>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</si>
  <si>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</si>
  <si>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</si>
  <si>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</si>
  <si>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</si>
  <si>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</si>
  <si>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</si>
  <si>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</si>
  <si>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</si>
  <si>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</si>
  <si>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</si>
  <si>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</si>
  <si>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</si>
  <si>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</si>
  <si>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</si>
  <si>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</si>
  <si>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</si>
  <si>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</si>
  <si>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</si>
  <si>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</si>
  <si>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</si>
  <si>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</si>
  <si>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</si>
  <si>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</si>
  <si>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</si>
  <si>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</si>
  <si>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</si>
  <si>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</si>
  <si>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</si>
  <si>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</si>
  <si>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</si>
  <si>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</si>
  <si>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</si>
  <si>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</si>
  <si>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</si>
  <si>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</si>
  <si>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</si>
  <si>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</si>
  <si>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</si>
  <si>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</si>
  <si>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</si>
  <si>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</si>
  <si>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</si>
  <si>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</si>
  <si>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</si>
  <si>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</si>
  <si>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</si>
  <si>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</si>
  <si>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</si>
  <si>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</si>
  <si>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</si>
  <si>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</si>
  <si>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</si>
  <si>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</si>
  <si>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</si>
  <si>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</si>
  <si>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</si>
  <si>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</si>
  <si>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</si>
  <si>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</si>
  <si>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</si>
  <si>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</si>
  <si>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</si>
  <si>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</si>
  <si>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</si>
  <si>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</si>
  <si>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</si>
  <si>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</si>
  <si>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</si>
  <si>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</si>
  <si>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</si>
  <si>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</si>
  <si>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</si>
  <si>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</si>
  <si>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</si>
  <si>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</si>
  <si>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</si>
  <si>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</si>
  <si>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</si>
  <si>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</si>
  <si>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</si>
  <si>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</si>
  <si>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</si>
  <si>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</si>
  <si>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</si>
  <si>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</si>
  <si>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</si>
  <si>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63,069 (July 1, 2018)</t>
  </si>
  <si>
    <r>
      <t xml:space="preserve"># Work orders received </t>
    </r>
    <r>
      <rPr>
        <sz val="7"/>
        <rFont val="Times New Roman"/>
        <family val="1"/>
      </rPr>
      <t>(</t>
    </r>
    <r>
      <rPr>
        <sz val="5"/>
        <rFont val="Times New Roman"/>
        <family val="1"/>
      </rPr>
      <t>entered in online system</t>
    </r>
    <r>
      <rPr>
        <sz val="7"/>
        <rFont val="Times New Roman"/>
        <family val="1"/>
      </rPr>
      <t>)</t>
    </r>
  </si>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</sst>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00"/>
    <numFmt numFmtId="167" formatCode="&quot;$&quot;#,##0"/>
  </numFmts>
  <fonts count="35"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sz val="12"/>
      <name val="Cambria"/>
      <family val="1"/>
      <scheme val="major"/>
    </font>
    <font>
      <b/>
      <u/>
      <sz val="9.5"/>
      <name val="Cambria"/>
      <family val="1"/>
      <scheme val="major"/>
    </font>
    <font>
      <sz val="10"/>
      <name val="Pristina"/>
      <family val="4"/>
    </font>
    <font>
      <b/>
      <sz val="30"/>
      <name val="Pristina"/>
      <family val="4"/>
    </font>
    <font>
      <b/>
      <sz val="25"/>
      <name val="Pristina"/>
      <family val="4"/>
    </font>
    <font>
      <sz val="25"/>
      <name val="Pristina"/>
      <family val="4"/>
    </font>
    <font>
      <sz val="25"/>
      <name val="Times New Roman"/>
      <family val="1"/>
    </font>
    <font>
      <sz val="7"/>
      <name val="Times New Roman"/>
      <family val="1"/>
    </font>
    <font>
      <sz val="5"/>
      <name val="Times New Roman"/>
      <family val="1"/>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style="medium">
        <color indexed="64"/>
      </right>
      <top/>
      <bottom/>
      <diagonal/>
    </border>
    <border>
      <left/>
      <right/>
      <top style="medium">
        <color indexed="64"/>
      </top>
      <bottom/>
      <diagonal/>
    </border>
    <border>
      <left style="thick">
        <color rgb="FF368ED6"/>
      </left>
      <right/>
      <top style="thick">
        <color rgb="FF368ED6"/>
      </top>
      <bottom style="medium">
        <color theme="3" tint="-0.499984740745262"/>
      </bottom>
      <diagonal/>
    </border>
    <border>
      <left/>
      <right/>
      <top style="thick">
        <color rgb="FF368ED6"/>
      </top>
      <bottom style="medium">
        <color theme="3" tint="-0.499984740745262"/>
      </bottom>
      <diagonal/>
    </border>
    <border>
      <left/>
      <right/>
      <top style="thick">
        <color rgb="FF368ED6"/>
      </top>
      <bottom/>
      <diagonal/>
    </border>
    <border>
      <left/>
      <right style="thick">
        <color rgb="FF368ED6"/>
      </right>
      <top style="thick">
        <color rgb="FF368ED6"/>
      </top>
      <bottom/>
      <diagonal/>
    </border>
    <border>
      <left style="thick">
        <color rgb="FF368ED6"/>
      </left>
      <right/>
      <top/>
      <bottom/>
      <diagonal/>
    </border>
    <border>
      <left/>
      <right style="thick">
        <color rgb="FF368ED6"/>
      </right>
      <top style="medium">
        <color indexed="64"/>
      </top>
      <bottom/>
      <diagonal/>
    </border>
    <border>
      <left/>
      <right style="thick">
        <color rgb="FF368ED6"/>
      </right>
      <top/>
      <bottom/>
      <diagonal/>
    </border>
    <border>
      <left style="thick">
        <color rgb="FF368ED6"/>
      </left>
      <right/>
      <top/>
      <bottom style="thick">
        <color rgb="FF368ED6"/>
      </bottom>
      <diagonal/>
    </border>
    <border>
      <left/>
      <right/>
      <top/>
      <bottom style="thick">
        <color rgb="FF368ED6"/>
      </bottom>
      <diagonal/>
    </border>
    <border>
      <left/>
      <right style="thick">
        <color rgb="FF368ED6"/>
      </right>
      <top/>
      <bottom style="thick">
        <color rgb="FF368ED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25">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25" fillId="5" borderId="0" xfId="0" applyFont="1" applyFill="1" applyAlignment="1">
      <alignment vertical="top"/>
    </xf>
    <xf numFmtId="0" fontId="0" fillId="6" borderId="0" xfId="0" applyFill="1"/>
    <xf numFmtId="1" fontId="0" fillId="6" borderId="0" xfId="0" applyNumberFormat="1" applyFill="1"/>
    <xf numFmtId="2" fontId="0" fillId="6" borderId="0" xfId="0" applyNumberFormat="1" applyFill="1"/>
    <xf numFmtId="0" fontId="25" fillId="5" borderId="0" xfId="0" applyFont="1" applyFill="1" applyBorder="1" applyAlignment="1" applyProtection="1">
      <alignment vertical="top"/>
      <protection locked="0"/>
    </xf>
    <xf numFmtId="0" fontId="2" fillId="7" borderId="0" xfId="0" applyFont="1" applyFill="1" applyAlignment="1">
      <alignment vertical="top"/>
    </xf>
    <xf numFmtId="0" fontId="3" fillId="7" borderId="0" xfId="0" applyFont="1" applyFill="1" applyAlignment="1">
      <alignment horizontal="center" vertical="top"/>
    </xf>
    <xf numFmtId="0" fontId="4" fillId="7" borderId="0" xfId="0" applyFont="1" applyFill="1" applyAlignment="1">
      <alignment vertical="top"/>
    </xf>
    <xf numFmtId="0" fontId="20" fillId="7" borderId="0" xfId="0" applyFont="1" applyFill="1" applyAlignment="1">
      <alignment vertical="top"/>
    </xf>
    <xf numFmtId="0" fontId="5" fillId="7" borderId="0" xfId="0" applyFont="1" applyFill="1" applyAlignment="1">
      <alignment vertical="top"/>
    </xf>
    <xf numFmtId="0" fontId="3" fillId="7" borderId="0" xfId="0" applyFont="1" applyFill="1" applyBorder="1" applyAlignment="1">
      <alignment horizontal="center" vertical="top"/>
    </xf>
    <xf numFmtId="0" fontId="21" fillId="7" borderId="0" xfId="0" applyFont="1" applyFill="1" applyAlignment="1">
      <alignment vertical="top"/>
    </xf>
    <xf numFmtId="0" fontId="22" fillId="7" borderId="0" xfId="0" applyFont="1" applyFill="1" applyAlignment="1">
      <alignment vertical="top"/>
    </xf>
    <xf numFmtId="0" fontId="0" fillId="7" borderId="0" xfId="0" applyFill="1"/>
    <xf numFmtId="0" fontId="23" fillId="8" borderId="3" xfId="0" applyFont="1" applyFill="1" applyBorder="1" applyAlignment="1">
      <alignment vertical="top"/>
    </xf>
    <xf numFmtId="0" fontId="23" fillId="8" borderId="4" xfId="0" applyFont="1" applyFill="1" applyBorder="1" applyAlignment="1">
      <alignment vertical="top"/>
    </xf>
    <xf numFmtId="0" fontId="24" fillId="8" borderId="4" xfId="0" applyFont="1" applyFill="1" applyBorder="1" applyAlignment="1">
      <alignment vertical="top"/>
    </xf>
    <xf numFmtId="0" fontId="24" fillId="8" borderId="5" xfId="0" applyFont="1" applyFill="1" applyBorder="1" applyAlignment="1">
      <alignment vertical="top"/>
    </xf>
    <xf numFmtId="0" fontId="24" fillId="8" borderId="6" xfId="0" applyFont="1" applyFill="1" applyBorder="1" applyAlignment="1">
      <alignment vertical="top"/>
    </xf>
    <xf numFmtId="0" fontId="24" fillId="8" borderId="7" xfId="0" applyFont="1" applyFill="1" applyBorder="1" applyAlignment="1">
      <alignment vertical="top"/>
    </xf>
    <xf numFmtId="0" fontId="24" fillId="8" borderId="0" xfId="0" applyFont="1" applyFill="1" applyBorder="1" applyAlignment="1">
      <alignment vertical="top"/>
    </xf>
    <xf numFmtId="0" fontId="26" fillId="8" borderId="2" xfId="0" applyFont="1" applyFill="1" applyBorder="1" applyAlignment="1">
      <alignment horizontal="center" vertical="top"/>
    </xf>
    <xf numFmtId="0" fontId="26" fillId="8" borderId="8" xfId="0" applyFont="1" applyFill="1" applyBorder="1" applyAlignment="1">
      <alignment horizontal="center"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9" xfId="0" applyNumberFormat="1" applyFont="1" applyFill="1" applyBorder="1" applyAlignment="1">
      <alignment horizontal="center" vertical="top"/>
    </xf>
    <xf numFmtId="0" fontId="23" fillId="8" borderId="11" xfId="0" applyNumberFormat="1" applyFont="1" applyFill="1" applyBorder="1" applyAlignment="1" applyProtection="1">
      <alignment horizontal="center" vertical="top"/>
      <protection locked="0"/>
    </xf>
    <xf numFmtId="0" fontId="23" fillId="8" borderId="11" xfId="0" applyFont="1" applyFill="1" applyBorder="1" applyAlignment="1">
      <alignment horizontal="center" vertical="top"/>
    </xf>
    <xf numFmtId="9" fontId="23" fillId="8" borderId="12" xfId="0" applyNumberFormat="1" applyFont="1" applyFill="1" applyBorder="1" applyAlignment="1">
      <alignment horizontal="center" vertical="top"/>
    </xf>
    <xf numFmtId="0" fontId="27" fillId="7" borderId="0" xfId="0" applyFont="1" applyFill="1" applyAlignment="1">
      <alignment vertical="top"/>
    </xf>
    <xf numFmtId="0" fontId="28" fillId="7" borderId="0" xfId="0" applyFont="1" applyFill="1" applyAlignment="1">
      <alignment vertical="top"/>
    </xf>
    <xf numFmtId="0" fontId="29" fillId="7" borderId="0" xfId="0" applyFont="1" applyFill="1" applyAlignment="1">
      <alignment vertical="top"/>
    </xf>
    <xf numFmtId="0" fontId="30" fillId="7" borderId="0" xfId="0" applyFont="1" applyFill="1" applyAlignment="1">
      <alignment vertical="top"/>
    </xf>
    <xf numFmtId="0" fontId="31" fillId="7" borderId="0" xfId="0" applyFont="1" applyFill="1" applyAlignment="1">
      <alignment vertical="top"/>
    </xf>
    <xf numFmtId="0" fontId="1" fillId="6" borderId="13" xfId="0" applyFont="1" applyFill="1" applyBorder="1"/>
    <xf numFmtId="0" fontId="0" fillId="6" borderId="2" xfId="0" applyFill="1" applyBorder="1"/>
    <xf numFmtId="0" fontId="0" fillId="6" borderId="14" xfId="0" applyFill="1" applyBorder="1"/>
    <xf numFmtId="0" fontId="0" fillId="6" borderId="15" xfId="0" applyFill="1" applyBorder="1"/>
    <xf numFmtId="0" fontId="0" fillId="6" borderId="0" xfId="0" applyFill="1" applyBorder="1"/>
    <xf numFmtId="0" fontId="0" fillId="6" borderId="1" xfId="0" applyFill="1" applyBorder="1"/>
    <xf numFmtId="0" fontId="13" fillId="6" borderId="0" xfId="0" applyFont="1" applyFill="1" applyBorder="1"/>
    <xf numFmtId="3" fontId="0" fillId="6" borderId="15" xfId="0" applyNumberFormat="1" applyFill="1" applyBorder="1"/>
    <xf numFmtId="3" fontId="1" fillId="6" borderId="15" xfId="0" applyNumberFormat="1" applyFont="1" applyFill="1" applyBorder="1"/>
    <xf numFmtId="0" fontId="13" fillId="6" borderId="15" xfId="0" applyFont="1" applyFill="1" applyBorder="1"/>
    <xf numFmtId="0" fontId="0" fillId="6" borderId="16" xfId="0" applyFill="1" applyBorder="1"/>
    <xf numFmtId="0" fontId="0" fillId="6" borderId="17" xfId="0" applyFill="1" applyBorder="1"/>
    <xf numFmtId="0" fontId="0" fillId="6" borderId="18" xfId="0" applyFill="1" applyBorder="1"/>
    <xf numFmtId="0" fontId="0" fillId="6" borderId="0" xfId="0" applyFill="1" applyBorder="1" applyAlignment="1">
      <alignment horizontal="center"/>
    </xf>
    <xf numFmtId="0" fontId="0" fillId="6" borderId="1"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34" fillId="6" borderId="0" xfId="0" applyFont="1" applyFill="1" applyBorder="1" applyAlignment="1">
      <alignment horizontal="center"/>
    </xf>
    <xf numFmtId="0" fontId="34" fillId="6" borderId="1" xfId="0" applyFont="1" applyFill="1" applyBorder="1" applyAlignment="1">
      <alignment horizontal="center"/>
    </xf>
    <xf numFmtId="0" fontId="1" fillId="3" borderId="0" xfId="0" applyFont="1" applyFill="1"/>
    <xf numFmtId="0" fontId="0" fillId="3" borderId="0" xfId="0" applyFill="1"/>
    <xf numFmtId="0" fontId="34"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3" fillId="7" borderId="7" xfId="0" applyNumberFormat="1" applyFont="1" applyFill="1" applyBorder="1" applyAlignment="1">
      <alignment vertical="top"/>
    </xf>
    <xf numFmtId="0" fontId="23" fillId="7" borderId="0" xfId="0" applyNumberFormat="1" applyFont="1" applyFill="1" applyBorder="1" applyAlignment="1">
      <alignment vertical="top"/>
    </xf>
    <xf numFmtId="0" fontId="23" fillId="7" borderId="10" xfId="0" applyNumberFormat="1" applyFont="1" applyFill="1" applyBorder="1" applyAlignment="1">
      <alignment vertical="top"/>
    </xf>
    <xf numFmtId="0" fontId="23" fillId="7" borderId="11" xfId="0" applyNumberFormat="1" applyFont="1" applyFill="1" applyBorder="1" applyAlignment="1">
      <alignment vertical="top"/>
    </xf>
    <xf numFmtId="0" fontId="23" fillId="8" borderId="7" xfId="0" applyNumberFormat="1" applyFont="1" applyFill="1" applyBorder="1" applyAlignment="1">
      <alignment vertical="top"/>
    </xf>
    <xf numFmtId="0" fontId="23" fillId="8" borderId="0" xfId="0" applyNumberFormat="1" applyFont="1" applyFill="1" applyBorder="1" applyAlignment="1">
      <alignment vertical="top"/>
    </xf>
    <xf numFmtId="0" fontId="25" fillId="5"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D9D9D9"/>
      <color rgb="FF0099FF"/>
      <color rgb="FF368ED6"/>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97301</xdr:colOff>
      <xdr:row>0</xdr:row>
      <xdr:rowOff>60961</xdr:rowOff>
    </xdr:from>
    <xdr:to>
      <xdr:col>16</xdr:col>
      <xdr:colOff>754379</xdr:colOff>
      <xdr:row>2</xdr:row>
      <xdr:rowOff>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4681" y="60961"/>
          <a:ext cx="1236198" cy="845820"/>
        </a:xfrm>
        <a:prstGeom prst="ellipse">
          <a:avLst/>
        </a:prstGeom>
        <a:ln w="63500" cap="rnd">
          <a:solidFill>
            <a:srgbClr val="0099FF"/>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M26" sqref="M26"/>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222</v>
      </c>
      <c r="I1" s="4" t="s">
        <v>223</v>
      </c>
      <c r="J1" s="4" t="s">
        <v>224</v>
      </c>
      <c r="K1" s="4" t="s">
        <v>225</v>
      </c>
      <c r="L1" s="4" t="s">
        <v>226</v>
      </c>
      <c r="M1" s="4" t="s">
        <v>270</v>
      </c>
      <c r="N1" s="4" t="s">
        <v>271</v>
      </c>
      <c r="O1" s="4" t="s">
        <v>272</v>
      </c>
    </row>
    <row r="2" spans="1:15" s="11" customFormat="1" x14ac:dyDescent="0.25">
      <c r="A2" s="6">
        <v>1</v>
      </c>
      <c r="B2" s="19" t="s">
        <v>221</v>
      </c>
      <c r="C2" s="44" t="s">
        <v>236</v>
      </c>
      <c r="D2" s="45" t="s">
        <v>242</v>
      </c>
      <c r="E2" s="35" t="s">
        <v>243</v>
      </c>
      <c r="F2" s="45" t="s">
        <v>237</v>
      </c>
      <c r="G2" s="45" t="s">
        <v>506</v>
      </c>
      <c r="H2" s="35"/>
      <c r="I2" s="35"/>
      <c r="J2" s="35"/>
      <c r="K2" s="35"/>
      <c r="L2" s="35"/>
      <c r="M2" s="35"/>
    </row>
    <row r="3" spans="1:15" x14ac:dyDescent="0.25">
      <c r="A3" s="5">
        <v>2</v>
      </c>
      <c r="B3" s="20" t="s">
        <v>4</v>
      </c>
      <c r="C3" s="35" t="s">
        <v>244</v>
      </c>
      <c r="D3" s="35" t="s">
        <v>247</v>
      </c>
      <c r="E3" s="35" t="s">
        <v>248</v>
      </c>
      <c r="F3" s="35" t="s">
        <v>245</v>
      </c>
      <c r="G3" s="35" t="s">
        <v>478</v>
      </c>
      <c r="H3" s="35" t="s">
        <v>246</v>
      </c>
      <c r="I3" s="35" t="s">
        <v>479</v>
      </c>
      <c r="J3" s="35" t="s">
        <v>480</v>
      </c>
      <c r="K3" s="35"/>
      <c r="L3" s="35"/>
      <c r="M3" s="35"/>
    </row>
    <row r="4" spans="1:15" x14ac:dyDescent="0.25">
      <c r="A4" s="5">
        <v>3</v>
      </c>
      <c r="B4" s="34" t="s">
        <v>235</v>
      </c>
      <c r="C4" s="46" t="s">
        <v>71</v>
      </c>
      <c r="D4" s="46" t="s">
        <v>465</v>
      </c>
      <c r="E4" s="46" t="s">
        <v>70</v>
      </c>
      <c r="F4" s="35" t="s">
        <v>273</v>
      </c>
      <c r="G4" s="47" t="s">
        <v>472</v>
      </c>
      <c r="H4" s="47" t="s">
        <v>328</v>
      </c>
      <c r="I4" s="47" t="s">
        <v>536</v>
      </c>
      <c r="J4" s="35" t="s">
        <v>537</v>
      </c>
      <c r="K4" s="35"/>
      <c r="L4" s="35"/>
      <c r="M4" s="35"/>
    </row>
    <row r="5" spans="1:15" x14ac:dyDescent="0.25">
      <c r="A5" s="5">
        <f>SUM(A4+1)</f>
        <v>4</v>
      </c>
      <c r="B5" s="21" t="s">
        <v>5</v>
      </c>
      <c r="C5" s="46" t="s">
        <v>23</v>
      </c>
      <c r="D5" s="46" t="s">
        <v>369</v>
      </c>
      <c r="E5" s="46" t="s">
        <v>370</v>
      </c>
      <c r="F5" s="46" t="s">
        <v>371</v>
      </c>
      <c r="G5" s="46" t="s">
        <v>24</v>
      </c>
      <c r="H5" s="46" t="s">
        <v>48</v>
      </c>
      <c r="I5" s="46" t="s">
        <v>372</v>
      </c>
      <c r="J5" s="46" t="s">
        <v>373</v>
      </c>
      <c r="K5" s="46"/>
      <c r="L5" s="46"/>
      <c r="M5" s="35"/>
    </row>
    <row r="6" spans="1:15" x14ac:dyDescent="0.25">
      <c r="A6" s="5">
        <v>5</v>
      </c>
      <c r="B6" s="21" t="s">
        <v>428</v>
      </c>
      <c r="C6" s="35" t="s">
        <v>429</v>
      </c>
      <c r="D6" s="35" t="s">
        <v>430</v>
      </c>
      <c r="E6" s="46" t="s">
        <v>431</v>
      </c>
      <c r="F6" s="47" t="s">
        <v>432</v>
      </c>
      <c r="G6" s="47" t="s">
        <v>433</v>
      </c>
      <c r="H6" s="35"/>
      <c r="I6" s="35"/>
      <c r="J6" s="46"/>
      <c r="K6" s="46"/>
      <c r="L6" s="46"/>
      <c r="M6" s="35"/>
    </row>
    <row r="7" spans="1:15" x14ac:dyDescent="0.25">
      <c r="A7" s="5">
        <v>6</v>
      </c>
      <c r="B7" s="53" t="s">
        <v>486</v>
      </c>
      <c r="C7" s="46" t="s">
        <v>482</v>
      </c>
      <c r="D7" s="46" t="s">
        <v>493</v>
      </c>
      <c r="E7" s="46" t="s">
        <v>483</v>
      </c>
      <c r="F7" s="46" t="s">
        <v>484</v>
      </c>
      <c r="G7" s="46" t="s">
        <v>527</v>
      </c>
      <c r="H7" s="47" t="s">
        <v>492</v>
      </c>
      <c r="I7" s="46" t="s">
        <v>488</v>
      </c>
      <c r="J7" s="46" t="s">
        <v>489</v>
      </c>
      <c r="K7" s="46" t="s">
        <v>498</v>
      </c>
      <c r="M7" s="35"/>
    </row>
    <row r="8" spans="1:15" x14ac:dyDescent="0.25">
      <c r="A8" s="5">
        <v>7</v>
      </c>
      <c r="B8" s="21" t="s">
        <v>234</v>
      </c>
      <c r="C8" s="46" t="s">
        <v>26</v>
      </c>
      <c r="D8" s="46" t="s">
        <v>252</v>
      </c>
      <c r="E8" s="46" t="s">
        <v>525</v>
      </c>
      <c r="F8" s="47" t="s">
        <v>189</v>
      </c>
      <c r="G8" s="47" t="s">
        <v>253</v>
      </c>
      <c r="H8" s="47" t="s">
        <v>412</v>
      </c>
      <c r="I8" s="47" t="s">
        <v>413</v>
      </c>
      <c r="J8" s="35"/>
      <c r="K8" s="35"/>
      <c r="L8" s="35"/>
      <c r="M8" s="35"/>
    </row>
    <row r="9" spans="1:15" x14ac:dyDescent="0.25">
      <c r="A9" s="5">
        <f t="shared" ref="A9:A30" si="0">SUM((A8+1))</f>
        <v>8</v>
      </c>
      <c r="B9" s="23" t="s">
        <v>25</v>
      </c>
      <c r="C9" s="46" t="s">
        <v>32</v>
      </c>
      <c r="D9" s="46" t="s">
        <v>62</v>
      </c>
      <c r="E9" s="46" t="s">
        <v>122</v>
      </c>
      <c r="F9" s="46" t="s">
        <v>63</v>
      </c>
      <c r="G9" s="46" t="s">
        <v>376</v>
      </c>
      <c r="H9" s="47" t="s">
        <v>353</v>
      </c>
      <c r="I9" s="47" t="s">
        <v>354</v>
      </c>
      <c r="J9" s="47" t="s">
        <v>355</v>
      </c>
      <c r="K9" s="47" t="s">
        <v>356</v>
      </c>
      <c r="L9" s="47" t="s">
        <v>357</v>
      </c>
      <c r="M9" s="47" t="s">
        <v>358</v>
      </c>
      <c r="N9" s="8" t="s">
        <v>490</v>
      </c>
      <c r="O9" s="8" t="s">
        <v>502</v>
      </c>
    </row>
    <row r="10" spans="1:15" x14ac:dyDescent="0.25">
      <c r="A10" s="5">
        <f t="shared" si="0"/>
        <v>9</v>
      </c>
      <c r="B10" s="24" t="s">
        <v>69</v>
      </c>
      <c r="C10" s="46" t="s">
        <v>443</v>
      </c>
      <c r="D10" s="46" t="s">
        <v>274</v>
      </c>
      <c r="E10" s="47" t="s">
        <v>275</v>
      </c>
      <c r="F10" s="47" t="s">
        <v>276</v>
      </c>
      <c r="G10" s="47" t="s">
        <v>277</v>
      </c>
      <c r="H10" s="47" t="s">
        <v>278</v>
      </c>
      <c r="I10" s="47" t="s">
        <v>279</v>
      </c>
      <c r="J10" s="47" t="s">
        <v>280</v>
      </c>
      <c r="K10" s="47" t="s">
        <v>281</v>
      </c>
      <c r="L10" s="47" t="s">
        <v>282</v>
      </c>
      <c r="M10" s="35"/>
    </row>
    <row r="11" spans="1:15" x14ac:dyDescent="0.25">
      <c r="A11" s="5">
        <f t="shared" si="0"/>
        <v>10</v>
      </c>
      <c r="B11" s="20" t="s">
        <v>227</v>
      </c>
      <c r="C11" s="35" t="s">
        <v>47</v>
      </c>
      <c r="D11" s="35" t="s">
        <v>101</v>
      </c>
      <c r="E11" s="47" t="s">
        <v>257</v>
      </c>
      <c r="F11" s="47" t="s">
        <v>500</v>
      </c>
      <c r="G11" s="35"/>
      <c r="H11" s="35"/>
      <c r="I11" s="35"/>
      <c r="J11" s="35"/>
      <c r="K11" s="35"/>
      <c r="L11" s="35"/>
      <c r="M11" s="35"/>
    </row>
    <row r="12" spans="1:15" x14ac:dyDescent="0.25">
      <c r="A12" s="5">
        <f t="shared" si="0"/>
        <v>11</v>
      </c>
      <c r="B12" s="21" t="s">
        <v>6</v>
      </c>
      <c r="C12" s="46" t="s">
        <v>319</v>
      </c>
      <c r="D12" s="46" t="s">
        <v>320</v>
      </c>
      <c r="E12" s="46" t="s">
        <v>72</v>
      </c>
      <c r="F12" s="47" t="s">
        <v>51</v>
      </c>
      <c r="G12" s="46" t="s">
        <v>427</v>
      </c>
      <c r="H12" s="46" t="s">
        <v>321</v>
      </c>
      <c r="I12" s="46" t="s">
        <v>322</v>
      </c>
      <c r="J12" s="46" t="s">
        <v>323</v>
      </c>
      <c r="K12" s="35" t="s">
        <v>324</v>
      </c>
      <c r="L12" s="35" t="s">
        <v>325</v>
      </c>
      <c r="M12" s="35" t="s">
        <v>326</v>
      </c>
      <c r="N12" s="11" t="s">
        <v>407</v>
      </c>
      <c r="O12" s="11" t="s">
        <v>327</v>
      </c>
    </row>
    <row r="13" spans="1:15" x14ac:dyDescent="0.25">
      <c r="A13" s="5">
        <f t="shared" si="0"/>
        <v>12</v>
      </c>
      <c r="B13" s="21" t="s">
        <v>434</v>
      </c>
      <c r="C13" s="35" t="s">
        <v>438</v>
      </c>
      <c r="D13" s="35" t="s">
        <v>448</v>
      </c>
      <c r="E13" s="35" t="s">
        <v>439</v>
      </c>
      <c r="F13" s="46" t="s">
        <v>435</v>
      </c>
      <c r="G13" s="47" t="s">
        <v>436</v>
      </c>
      <c r="H13" s="47" t="s">
        <v>437</v>
      </c>
      <c r="I13" s="47" t="s">
        <v>503</v>
      </c>
      <c r="J13" s="35"/>
      <c r="K13" s="35"/>
      <c r="L13" s="35"/>
      <c r="M13" s="35"/>
      <c r="N13" s="11"/>
      <c r="O13" s="11"/>
    </row>
    <row r="14" spans="1:15" x14ac:dyDescent="0.25">
      <c r="A14" s="5">
        <f t="shared" si="0"/>
        <v>13</v>
      </c>
      <c r="B14" s="21" t="s">
        <v>228</v>
      </c>
      <c r="C14" s="35" t="s">
        <v>73</v>
      </c>
      <c r="D14" s="35" t="s">
        <v>74</v>
      </c>
      <c r="E14" s="35" t="s">
        <v>75</v>
      </c>
      <c r="F14" s="35" t="s">
        <v>76</v>
      </c>
      <c r="G14" s="35" t="s">
        <v>77</v>
      </c>
      <c r="H14" s="35" t="s">
        <v>481</v>
      </c>
      <c r="I14" s="35" t="s">
        <v>78</v>
      </c>
      <c r="J14" s="35" t="s">
        <v>79</v>
      </c>
      <c r="K14" s="35" t="s">
        <v>334</v>
      </c>
      <c r="L14" s="35" t="s">
        <v>80</v>
      </c>
      <c r="M14" s="35" t="s">
        <v>238</v>
      </c>
    </row>
    <row r="15" spans="1:15" x14ac:dyDescent="0.25">
      <c r="A15" s="5">
        <f t="shared" si="0"/>
        <v>14</v>
      </c>
      <c r="B15" s="20" t="s">
        <v>230</v>
      </c>
      <c r="C15" s="46" t="s">
        <v>65</v>
      </c>
      <c r="D15" s="46" t="s">
        <v>66</v>
      </c>
      <c r="E15" s="46" t="s">
        <v>268</v>
      </c>
      <c r="F15" s="46" t="s">
        <v>269</v>
      </c>
      <c r="G15" s="46" t="s">
        <v>374</v>
      </c>
      <c r="H15" s="46" t="s">
        <v>539</v>
      </c>
      <c r="I15" s="46" t="s">
        <v>528</v>
      </c>
      <c r="J15" s="35"/>
      <c r="K15" s="35"/>
      <c r="L15" s="35"/>
      <c r="M15" s="35"/>
    </row>
    <row r="16" spans="1:15" x14ac:dyDescent="0.25">
      <c r="A16" s="5">
        <f t="shared" si="0"/>
        <v>15</v>
      </c>
      <c r="B16" s="21" t="s">
        <v>7</v>
      </c>
      <c r="C16" s="46" t="s">
        <v>39</v>
      </c>
      <c r="D16" s="46" t="s">
        <v>40</v>
      </c>
      <c r="E16" s="46" t="s">
        <v>27</v>
      </c>
      <c r="F16" s="46" t="s">
        <v>86</v>
      </c>
      <c r="G16" s="46" t="s">
        <v>28</v>
      </c>
      <c r="H16" s="46" t="s">
        <v>402</v>
      </c>
      <c r="I16" s="46"/>
      <c r="J16" s="35"/>
      <c r="K16" s="35"/>
      <c r="L16" s="35"/>
      <c r="M16" s="35"/>
    </row>
    <row r="17" spans="1:17" x14ac:dyDescent="0.25">
      <c r="A17" s="5">
        <f t="shared" si="0"/>
        <v>16</v>
      </c>
      <c r="B17" s="20" t="s">
        <v>8</v>
      </c>
      <c r="C17" s="46" t="s">
        <v>239</v>
      </c>
      <c r="D17" s="46" t="s">
        <v>52</v>
      </c>
      <c r="E17" s="46" t="s">
        <v>386</v>
      </c>
      <c r="F17" s="46" t="s">
        <v>53</v>
      </c>
      <c r="G17" s="46" t="s">
        <v>54</v>
      </c>
      <c r="H17" s="46" t="s">
        <v>258</v>
      </c>
      <c r="I17" s="46" t="s">
        <v>259</v>
      </c>
      <c r="J17" s="46" t="s">
        <v>260</v>
      </c>
      <c r="K17" s="46" t="s">
        <v>261</v>
      </c>
      <c r="L17" s="46" t="s">
        <v>529</v>
      </c>
      <c r="M17" s="46" t="s">
        <v>530</v>
      </c>
      <c r="N17" s="46" t="s">
        <v>531</v>
      </c>
      <c r="O17" s="46" t="s">
        <v>532</v>
      </c>
      <c r="P17" s="35"/>
      <c r="Q17" s="35"/>
    </row>
    <row r="18" spans="1:17" x14ac:dyDescent="0.25">
      <c r="A18" s="5">
        <f t="shared" si="0"/>
        <v>17</v>
      </c>
      <c r="B18" s="21" t="s">
        <v>487</v>
      </c>
      <c r="C18" s="46" t="s">
        <v>123</v>
      </c>
      <c r="D18" s="46" t="s">
        <v>124</v>
      </c>
      <c r="E18" s="46" t="s">
        <v>389</v>
      </c>
      <c r="F18" s="46" t="s">
        <v>249</v>
      </c>
      <c r="G18" s="46" t="s">
        <v>125</v>
      </c>
      <c r="H18" s="46" t="s">
        <v>126</v>
      </c>
      <c r="I18" s="46" t="s">
        <v>240</v>
      </c>
      <c r="J18" s="46" t="s">
        <v>241</v>
      </c>
      <c r="K18" s="46" t="s">
        <v>250</v>
      </c>
      <c r="L18" s="46" t="s">
        <v>251</v>
      </c>
      <c r="M18" s="46" t="s">
        <v>396</v>
      </c>
    </row>
    <row r="19" spans="1:17" x14ac:dyDescent="0.25">
      <c r="A19" s="5">
        <f t="shared" si="0"/>
        <v>18</v>
      </c>
      <c r="B19" s="21" t="s">
        <v>9</v>
      </c>
      <c r="C19" s="46" t="s">
        <v>377</v>
      </c>
      <c r="D19" s="46" t="s">
        <v>378</v>
      </c>
      <c r="E19" s="46" t="s">
        <v>55</v>
      </c>
      <c r="F19" s="46" t="s">
        <v>56</v>
      </c>
      <c r="G19" s="47" t="s">
        <v>397</v>
      </c>
      <c r="H19" s="47" t="s">
        <v>380</v>
      </c>
      <c r="I19" s="47" t="s">
        <v>404</v>
      </c>
      <c r="J19" s="35" t="s">
        <v>497</v>
      </c>
      <c r="K19" s="35"/>
      <c r="L19" s="35"/>
      <c r="M19" s="35"/>
    </row>
    <row r="20" spans="1:17" x14ac:dyDescent="0.25">
      <c r="A20" s="5">
        <f t="shared" si="0"/>
        <v>19</v>
      </c>
      <c r="B20" s="23" t="s">
        <v>61</v>
      </c>
      <c r="C20" s="46" t="s">
        <v>398</v>
      </c>
      <c r="D20" s="46" t="s">
        <v>399</v>
      </c>
      <c r="E20" s="47" t="s">
        <v>400</v>
      </c>
      <c r="F20" s="47" t="s">
        <v>401</v>
      </c>
      <c r="G20" s="47"/>
      <c r="H20" s="47"/>
      <c r="I20" s="47"/>
      <c r="J20" s="47"/>
      <c r="K20" s="35"/>
      <c r="L20" s="35"/>
      <c r="M20" s="35"/>
    </row>
    <row r="21" spans="1:17" x14ac:dyDescent="0.25">
      <c r="A21" s="5">
        <f t="shared" si="0"/>
        <v>20</v>
      </c>
      <c r="B21" s="21" t="s">
        <v>233</v>
      </c>
      <c r="C21" s="46" t="s">
        <v>42</v>
      </c>
      <c r="D21" s="46" t="s">
        <v>43</v>
      </c>
      <c r="E21" s="46" t="s">
        <v>46</v>
      </c>
      <c r="F21" s="46" t="s">
        <v>44</v>
      </c>
      <c r="G21" s="46" t="s">
        <v>45</v>
      </c>
      <c r="H21" s="47" t="s">
        <v>84</v>
      </c>
      <c r="I21" s="47" t="s">
        <v>85</v>
      </c>
      <c r="J21" s="35"/>
      <c r="K21" s="35"/>
      <c r="L21" s="35"/>
      <c r="M21" s="35"/>
    </row>
    <row r="22" spans="1:17" x14ac:dyDescent="0.25">
      <c r="A22" s="5">
        <f t="shared" si="0"/>
        <v>21</v>
      </c>
      <c r="B22" s="21" t="s">
        <v>10</v>
      </c>
      <c r="C22" s="46" t="s">
        <v>32</v>
      </c>
      <c r="D22" s="46" t="s">
        <v>507</v>
      </c>
      <c r="E22" s="46" t="s">
        <v>332</v>
      </c>
      <c r="F22" s="46" t="s">
        <v>333</v>
      </c>
      <c r="G22" s="46" t="s">
        <v>329</v>
      </c>
      <c r="H22" s="46" t="s">
        <v>331</v>
      </c>
      <c r="I22" s="46" t="s">
        <v>81</v>
      </c>
      <c r="J22" s="46" t="s">
        <v>82</v>
      </c>
      <c r="K22" s="46" t="s">
        <v>83</v>
      </c>
      <c r="L22" s="46" t="s">
        <v>100</v>
      </c>
      <c r="M22" s="35"/>
    </row>
    <row r="23" spans="1:17" x14ac:dyDescent="0.25">
      <c r="A23" s="5">
        <f t="shared" si="0"/>
        <v>22</v>
      </c>
      <c r="B23" s="21" t="s">
        <v>229</v>
      </c>
      <c r="C23" s="35" t="s">
        <v>256</v>
      </c>
      <c r="D23" s="35" t="s">
        <v>254</v>
      </c>
      <c r="E23" s="35" t="s">
        <v>255</v>
      </c>
      <c r="F23" s="46" t="s">
        <v>501</v>
      </c>
      <c r="G23" s="47" t="s">
        <v>526</v>
      </c>
      <c r="H23" s="47" t="s">
        <v>49</v>
      </c>
      <c r="I23" s="47" t="s">
        <v>551</v>
      </c>
      <c r="J23" s="47" t="s">
        <v>545</v>
      </c>
      <c r="K23" s="35" t="s">
        <v>544</v>
      </c>
      <c r="L23" s="35" t="s">
        <v>552</v>
      </c>
      <c r="M23" s="35" t="s">
        <v>546</v>
      </c>
      <c r="N23" s="35" t="s">
        <v>544</v>
      </c>
    </row>
    <row r="24" spans="1:17" x14ac:dyDescent="0.25">
      <c r="A24" s="5">
        <f t="shared" si="0"/>
        <v>23</v>
      </c>
      <c r="B24" s="21" t="s">
        <v>11</v>
      </c>
      <c r="C24" s="46" t="s">
        <v>266</v>
      </c>
      <c r="D24" s="46" t="s">
        <v>267</v>
      </c>
      <c r="E24" s="46" t="s">
        <v>50</v>
      </c>
      <c r="F24" s="46" t="s">
        <v>359</v>
      </c>
      <c r="G24" s="46" t="s">
        <v>387</v>
      </c>
      <c r="H24" s="46" t="s">
        <v>473</v>
      </c>
      <c r="I24" s="46" t="s">
        <v>511</v>
      </c>
      <c r="J24" s="46" t="s">
        <v>510</v>
      </c>
      <c r="K24" s="46" t="s">
        <v>57</v>
      </c>
      <c r="L24" s="46" t="s">
        <v>58</v>
      </c>
      <c r="M24" s="46" t="s">
        <v>67</v>
      </c>
    </row>
    <row r="25" spans="1:17" x14ac:dyDescent="0.25">
      <c r="A25" s="5">
        <f t="shared" si="0"/>
        <v>24</v>
      </c>
      <c r="B25" s="21" t="s">
        <v>12</v>
      </c>
      <c r="C25" s="46" t="s">
        <v>30</v>
      </c>
      <c r="D25" s="46" t="s">
        <v>31</v>
      </c>
      <c r="E25" s="46" t="s">
        <v>29</v>
      </c>
      <c r="F25" s="46" t="s">
        <v>403</v>
      </c>
      <c r="G25" s="46" t="s">
        <v>367</v>
      </c>
      <c r="H25" s="46" t="s">
        <v>368</v>
      </c>
      <c r="I25" s="35" t="s">
        <v>508</v>
      </c>
      <c r="J25" s="35"/>
      <c r="K25" s="35"/>
      <c r="L25" s="35"/>
      <c r="M25" s="35"/>
    </row>
    <row r="26" spans="1:17" x14ac:dyDescent="0.25">
      <c r="A26" s="5">
        <f t="shared" si="0"/>
        <v>25</v>
      </c>
      <c r="B26" s="21" t="s">
        <v>13</v>
      </c>
      <c r="C26" s="46" t="s">
        <v>440</v>
      </c>
      <c r="D26" s="46" t="s">
        <v>441</v>
      </c>
      <c r="E26" s="46" t="s">
        <v>64</v>
      </c>
      <c r="F26" s="46" t="s">
        <v>411</v>
      </c>
      <c r="G26" s="46" t="s">
        <v>409</v>
      </c>
      <c r="H26" s="47" t="s">
        <v>408</v>
      </c>
      <c r="I26" s="47" t="s">
        <v>410</v>
      </c>
      <c r="J26" s="47" t="s">
        <v>442</v>
      </c>
      <c r="K26" s="47"/>
      <c r="L26" s="35"/>
      <c r="M26" s="35"/>
    </row>
    <row r="27" spans="1:17" x14ac:dyDescent="0.25">
      <c r="A27" s="5">
        <f t="shared" si="0"/>
        <v>26</v>
      </c>
      <c r="B27" s="20" t="s">
        <v>187</v>
      </c>
      <c r="C27" s="46" t="s">
        <v>188</v>
      </c>
      <c r="D27" s="46" t="s">
        <v>468</v>
      </c>
      <c r="E27" s="46" t="s">
        <v>467</v>
      </c>
      <c r="F27" s="47" t="s">
        <v>375</v>
      </c>
      <c r="G27" s="47" t="s">
        <v>388</v>
      </c>
      <c r="H27" s="47" t="s">
        <v>533</v>
      </c>
      <c r="I27" s="47" t="s">
        <v>534</v>
      </c>
      <c r="J27" s="47"/>
      <c r="K27" s="35"/>
      <c r="L27" s="35"/>
      <c r="M27" s="35"/>
    </row>
    <row r="28" spans="1:17" x14ac:dyDescent="0.25">
      <c r="A28" s="5">
        <f t="shared" si="0"/>
        <v>27</v>
      </c>
      <c r="B28" s="20" t="s">
        <v>505</v>
      </c>
      <c r="C28" s="46" t="s">
        <v>509</v>
      </c>
      <c r="D28" s="46" t="s">
        <v>514</v>
      </c>
      <c r="E28" s="46" t="s">
        <v>512</v>
      </c>
      <c r="F28" s="47" t="s">
        <v>515</v>
      </c>
      <c r="G28" s="46" t="s">
        <v>513</v>
      </c>
      <c r="H28" s="46" t="s">
        <v>516</v>
      </c>
      <c r="I28" s="46" t="s">
        <v>517</v>
      </c>
      <c r="J28" s="35" t="s">
        <v>522</v>
      </c>
      <c r="K28" s="35" t="s">
        <v>523</v>
      </c>
      <c r="L28" s="35" t="s">
        <v>518</v>
      </c>
      <c r="M28" s="35" t="s">
        <v>521</v>
      </c>
      <c r="N28" s="35" t="s">
        <v>519</v>
      </c>
      <c r="O28" s="35" t="s">
        <v>520</v>
      </c>
    </row>
    <row r="29" spans="1:17" x14ac:dyDescent="0.25">
      <c r="A29" s="5">
        <f t="shared" si="0"/>
        <v>28</v>
      </c>
      <c r="B29" s="24" t="s">
        <v>232</v>
      </c>
      <c r="C29" s="46" t="s">
        <v>262</v>
      </c>
      <c r="D29" s="46" t="s">
        <v>390</v>
      </c>
      <c r="E29" s="46" t="s">
        <v>263</v>
      </c>
      <c r="F29" s="47" t="s">
        <v>379</v>
      </c>
      <c r="G29" s="47" t="s">
        <v>265</v>
      </c>
      <c r="H29" s="47" t="s">
        <v>264</v>
      </c>
      <c r="I29" s="35" t="s">
        <v>474</v>
      </c>
      <c r="J29" s="35" t="s">
        <v>475</v>
      </c>
      <c r="K29" s="35" t="s">
        <v>466</v>
      </c>
      <c r="L29" s="35"/>
      <c r="M29" s="35"/>
    </row>
    <row r="30" spans="1:17" ht="13.8" x14ac:dyDescent="0.25">
      <c r="A30" s="5">
        <f t="shared" si="0"/>
        <v>29</v>
      </c>
      <c r="B30" s="22">
        <v>911</v>
      </c>
      <c r="C30" s="46" t="s">
        <v>60</v>
      </c>
      <c r="D30" s="46" t="s">
        <v>394</v>
      </c>
      <c r="E30" s="46" t="s">
        <v>395</v>
      </c>
      <c r="F30" s="46" t="s">
        <v>68</v>
      </c>
      <c r="G30" s="47" t="s">
        <v>59</v>
      </c>
      <c r="H30" s="46" t="s">
        <v>491</v>
      </c>
      <c r="I30" s="46"/>
      <c r="J30" s="35"/>
      <c r="K30" s="35"/>
      <c r="L30" s="48"/>
      <c r="M30" s="49"/>
      <c r="N30" s="39"/>
      <c r="O30" s="39"/>
      <c r="P30" s="39"/>
      <c r="Q30" s="39"/>
    </row>
    <row r="31" spans="1:17" x14ac:dyDescent="0.25">
      <c r="A31" s="54"/>
      <c r="B31" s="52"/>
      <c r="N31" s="11"/>
      <c r="O31" s="11"/>
      <c r="P31" s="11"/>
      <c r="Q31" s="11"/>
    </row>
    <row r="32" spans="1:17" x14ac:dyDescent="0.25">
      <c r="K32" s="11"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P6" sqref="P6"/>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9" width="9.109375" style="1"/>
    <col min="20" max="20" width="10.21875" style="1" customWidth="1"/>
    <col min="21" max="16384" width="9.109375" style="1"/>
  </cols>
  <sheetData>
    <row r="1" spans="1:17" ht="39.6" customHeight="1" x14ac:dyDescent="0.25">
      <c r="A1" s="85" t="s">
        <v>220</v>
      </c>
      <c r="B1" s="84"/>
      <c r="C1" s="84"/>
      <c r="D1" s="84"/>
      <c r="E1" s="84"/>
      <c r="F1" s="60"/>
      <c r="G1" s="60"/>
      <c r="H1" s="60"/>
      <c r="I1" s="60"/>
      <c r="J1" s="61"/>
      <c r="K1" s="60"/>
      <c r="L1" s="60"/>
      <c r="M1" s="60"/>
      <c r="N1" s="60"/>
      <c r="O1" s="60"/>
      <c r="P1" s="60"/>
      <c r="Q1" s="60"/>
    </row>
    <row r="2" spans="1:17" ht="31.8" customHeight="1" x14ac:dyDescent="0.25">
      <c r="A2" s="86" t="s">
        <v>0</v>
      </c>
      <c r="B2" s="87"/>
      <c r="C2" s="87"/>
      <c r="D2" s="87"/>
      <c r="E2" s="87"/>
      <c r="F2" s="88"/>
      <c r="G2" s="88"/>
      <c r="H2" s="60"/>
      <c r="I2" s="60"/>
      <c r="J2" s="60"/>
      <c r="K2" s="60"/>
      <c r="L2" s="60"/>
      <c r="M2" s="60"/>
      <c r="N2" s="60"/>
      <c r="O2" s="60"/>
      <c r="P2" s="60"/>
      <c r="Q2" s="60"/>
    </row>
    <row r="3" spans="1:17" ht="5.4" customHeight="1" x14ac:dyDescent="0.25">
      <c r="A3" s="62"/>
      <c r="B3" s="60"/>
      <c r="C3" s="60"/>
      <c r="D3" s="60"/>
      <c r="E3" s="60"/>
      <c r="F3" s="60"/>
      <c r="G3" s="60"/>
      <c r="H3" s="60"/>
      <c r="I3" s="60"/>
      <c r="J3" s="60"/>
      <c r="K3" s="60"/>
      <c r="L3" s="60"/>
      <c r="M3" s="60"/>
      <c r="N3" s="60"/>
      <c r="O3" s="60"/>
      <c r="P3" s="60"/>
      <c r="Q3" s="60"/>
    </row>
    <row r="4" spans="1:17" ht="3" customHeight="1" x14ac:dyDescent="0.25">
      <c r="A4" s="63"/>
      <c r="B4" s="63"/>
      <c r="C4" s="63"/>
      <c r="D4" s="63"/>
      <c r="E4" s="63"/>
      <c r="F4" s="63"/>
      <c r="G4" s="63"/>
      <c r="H4" s="63"/>
      <c r="I4" s="63"/>
      <c r="J4" s="63"/>
      <c r="K4" s="63"/>
      <c r="L4" s="63"/>
      <c r="M4" s="63"/>
      <c r="N4" s="63"/>
      <c r="O4" s="63"/>
      <c r="P4" s="63"/>
      <c r="Q4" s="63"/>
    </row>
    <row r="5" spans="1:17" ht="3.6" customHeight="1" x14ac:dyDescent="0.25">
      <c r="A5" s="64"/>
      <c r="B5" s="60"/>
      <c r="C5" s="60"/>
      <c r="D5" s="60"/>
      <c r="E5" s="60"/>
      <c r="F5" s="60"/>
      <c r="G5" s="60"/>
      <c r="H5" s="60"/>
      <c r="I5" s="60"/>
      <c r="J5" s="60"/>
      <c r="K5" s="60"/>
      <c r="L5" s="60"/>
      <c r="M5" s="60"/>
      <c r="N5" s="60" t="s">
        <v>499</v>
      </c>
      <c r="O5" s="65" t="s">
        <v>499</v>
      </c>
      <c r="P5" s="60"/>
      <c r="Q5" s="60"/>
    </row>
    <row r="6" spans="1:17" ht="16.2" customHeight="1" x14ac:dyDescent="0.25">
      <c r="A6" s="64"/>
      <c r="B6" s="60"/>
      <c r="C6" s="60"/>
      <c r="D6" s="60"/>
      <c r="E6" s="60"/>
      <c r="F6" s="60"/>
      <c r="G6" s="60"/>
      <c r="H6" s="60"/>
      <c r="I6" s="60"/>
      <c r="J6" s="60"/>
      <c r="K6" s="60"/>
      <c r="L6" s="60"/>
      <c r="M6" s="60"/>
      <c r="N6" s="60" t="s">
        <v>330</v>
      </c>
      <c r="O6" s="60" t="s">
        <v>499</v>
      </c>
      <c r="P6" s="60"/>
      <c r="Q6" s="59">
        <v>1</v>
      </c>
    </row>
    <row r="7" spans="1:17" ht="15" x14ac:dyDescent="0.25">
      <c r="A7" s="66" t="s">
        <v>1</v>
      </c>
      <c r="B7" s="124" t="str">
        <f>VLOOKUP(Q6,'Code Sheet'!A1:G34,2,TRUE)</f>
        <v>Agri-Civic Center</v>
      </c>
      <c r="C7" s="124"/>
      <c r="D7" s="124"/>
      <c r="E7" s="60"/>
      <c r="F7" s="60"/>
      <c r="G7" s="60"/>
      <c r="H7" s="66" t="s">
        <v>41</v>
      </c>
      <c r="I7" s="67"/>
      <c r="J7" s="55">
        <v>2019</v>
      </c>
      <c r="K7" s="60"/>
      <c r="L7" s="60"/>
      <c r="M7" s="60" t="s">
        <v>535</v>
      </c>
      <c r="N7" s="68"/>
      <c r="O7" s="60" t="s">
        <v>330</v>
      </c>
      <c r="P7" s="60" t="s">
        <v>499</v>
      </c>
      <c r="Q7" s="60" t="s">
        <v>499</v>
      </c>
    </row>
    <row r="8" spans="1:17" ht="7.5" customHeight="1" x14ac:dyDescent="0.25">
      <c r="A8" s="60"/>
      <c r="B8" s="60"/>
      <c r="C8" s="60"/>
      <c r="D8" s="60"/>
      <c r="E8" s="60"/>
      <c r="F8" s="60"/>
      <c r="G8" s="60"/>
      <c r="H8" s="60"/>
      <c r="I8" s="60"/>
      <c r="J8" s="60"/>
      <c r="K8" s="60"/>
      <c r="L8" s="60"/>
      <c r="M8" s="60" t="s">
        <v>330</v>
      </c>
      <c r="N8" s="60"/>
      <c r="O8" s="68" t="s">
        <v>330</v>
      </c>
      <c r="P8" s="60"/>
      <c r="Q8" s="60"/>
    </row>
    <row r="9" spans="1:17" ht="9.75" customHeight="1" thickBot="1" x14ac:dyDescent="0.3">
      <c r="A9" s="60"/>
      <c r="B9" s="60"/>
      <c r="C9" s="60"/>
      <c r="D9" s="60"/>
      <c r="E9" s="60"/>
      <c r="F9" s="60"/>
      <c r="G9" s="60"/>
      <c r="H9" s="60"/>
      <c r="I9" s="60"/>
      <c r="J9" s="60"/>
      <c r="K9" s="60"/>
      <c r="L9" s="60"/>
      <c r="M9" s="60"/>
      <c r="N9" s="60"/>
      <c r="O9" s="60"/>
      <c r="P9" s="60"/>
      <c r="Q9" s="60"/>
    </row>
    <row r="10" spans="1:17" ht="14.4" thickTop="1" thickBot="1" x14ac:dyDescent="0.3">
      <c r="A10" s="69" t="s">
        <v>2</v>
      </c>
      <c r="B10" s="70"/>
      <c r="C10" s="71"/>
      <c r="D10" s="72"/>
      <c r="E10" s="72"/>
      <c r="F10" s="72"/>
      <c r="G10" s="72"/>
      <c r="H10" s="72"/>
      <c r="I10" s="72"/>
      <c r="J10" s="72"/>
      <c r="K10" s="72"/>
      <c r="L10" s="72"/>
      <c r="M10" s="72"/>
      <c r="N10" s="72"/>
      <c r="O10" s="72"/>
      <c r="P10" s="72"/>
      <c r="Q10" s="73"/>
    </row>
    <row r="11" spans="1:17" x14ac:dyDescent="0.25">
      <c r="A11" s="74"/>
      <c r="B11" s="75"/>
      <c r="C11" s="75"/>
      <c r="D11" s="76" t="s">
        <v>87</v>
      </c>
      <c r="E11" s="76" t="s">
        <v>88</v>
      </c>
      <c r="F11" s="76" t="s">
        <v>89</v>
      </c>
      <c r="G11" s="76" t="s">
        <v>15</v>
      </c>
      <c r="H11" s="76" t="s">
        <v>16</v>
      </c>
      <c r="I11" s="76" t="s">
        <v>17</v>
      </c>
      <c r="J11" s="76" t="s">
        <v>33</v>
      </c>
      <c r="K11" s="76" t="s">
        <v>34</v>
      </c>
      <c r="L11" s="76" t="s">
        <v>35</v>
      </c>
      <c r="M11" s="76" t="s">
        <v>36</v>
      </c>
      <c r="N11" s="76" t="s">
        <v>37</v>
      </c>
      <c r="O11" s="76" t="s">
        <v>38</v>
      </c>
      <c r="P11" s="76" t="s">
        <v>452</v>
      </c>
      <c r="Q11" s="77" t="s">
        <v>453</v>
      </c>
    </row>
    <row r="12" spans="1:17" ht="30" customHeight="1" x14ac:dyDescent="0.25">
      <c r="A12" s="122" t="str">
        <f>VLOOKUP(Q6,'Code Sheet'!A1:G34,3,TRUE)</f>
        <v xml:space="preserve">$ Total revenue </v>
      </c>
      <c r="B12" s="123"/>
      <c r="C12" s="123"/>
      <c r="D12" s="78">
        <f>VLOOKUP(Q6,'SRT Data'!A:EZ,3,TRUE)</f>
        <v>7672</v>
      </c>
      <c r="E12" s="78">
        <f>VLOOKUP(Q6,'SRT Data'!A:EZ,16,TRUE)</f>
        <v>6681</v>
      </c>
      <c r="F12" s="78">
        <f>VLOOKUP(Q6,'SRT Data'!A:EZ,29,TRUE)</f>
        <v>2656</v>
      </c>
      <c r="G12" s="78">
        <f>VLOOKUP(Q6,'SRT Data'!A:FA,42,TRUE)</f>
        <v>9577</v>
      </c>
      <c r="H12" s="78">
        <f>VLOOKUP(Q6,'SRT Data'!A:FA,55,TRUE)</f>
        <v>7412</v>
      </c>
      <c r="I12" s="78">
        <f>VLOOKUP(Q6,'SRT Data'!A:FA,68,TRUE)</f>
        <v>2030</v>
      </c>
      <c r="J12" s="78">
        <f>VLOOKUP(Q6,'SRT Data'!A:FA,81,TRUE)</f>
        <v>2675</v>
      </c>
      <c r="K12" s="78">
        <f>VLOOKUP(Q6,'SRT Data'!A:FA,94,TRUE)</f>
        <v>7431</v>
      </c>
      <c r="L12" s="78">
        <f>VLOOKUP(Q6,'SRT Data'!A:FA,107,TRUE)</f>
        <v>0</v>
      </c>
      <c r="M12" s="78">
        <f>VLOOKUP(Q6,'SRT Data'!A:FA,120,TRUE)</f>
        <v>0</v>
      </c>
      <c r="N12" s="78">
        <f>VLOOKUP(Q6,'SRT Data'!A:FA,133,TRUE)</f>
        <v>0</v>
      </c>
      <c r="O12" s="78">
        <f>VLOOKUP(Q6,'SRT Data'!A:FB,146,TRUE)</f>
        <v>0</v>
      </c>
      <c r="P12" s="79">
        <f>VLOOKUP(Q6,'SRT Data'!A:FO,159,TRUE)</f>
        <v>60000</v>
      </c>
      <c r="Q12" s="80">
        <f>SUM(D12:O12)/P12</f>
        <v>0.76890000000000003</v>
      </c>
    </row>
    <row r="13" spans="1:17" ht="30" customHeight="1" x14ac:dyDescent="0.25">
      <c r="A13" s="122" t="str">
        <f>VLOOKUP(Q6,'Code Sheet'!A1:G34,4,TRUE)</f>
        <v xml:space="preserve"># Paid events </v>
      </c>
      <c r="B13" s="123"/>
      <c r="C13" s="123"/>
      <c r="D13" s="78">
        <f>VLOOKUP(Q6,'SRT Data'!A:EZ,4,TRUE)</f>
        <v>3</v>
      </c>
      <c r="E13" s="78">
        <f>VLOOKUP(Q6,'SRT Data'!A:EZ,17,TRUE)</f>
        <v>5</v>
      </c>
      <c r="F13" s="78">
        <f>VLOOKUP(Q6,'SRT Data'!A:EZ,30,TRUE)</f>
        <v>6</v>
      </c>
      <c r="G13" s="78">
        <f>VLOOKUP(Q6,'SRT Data'!A:FA,43,TRUE)</f>
        <v>11</v>
      </c>
      <c r="H13" s="78">
        <f>VLOOKUP(Q6,'SRT Data'!A:FA,56,TRUE)</f>
        <v>5</v>
      </c>
      <c r="I13" s="78">
        <f>VLOOKUP(Q6,'SRT Data'!A:FA,69,TRUE)</f>
        <v>9</v>
      </c>
      <c r="J13" s="78">
        <f>VLOOKUP(Q6,'SRT Data'!A:FA,82,TRUE)</f>
        <v>5</v>
      </c>
      <c r="K13" s="78">
        <f>VLOOKUP(Q6,'SRT Data'!A:FA,95,TRUE)</f>
        <v>2</v>
      </c>
      <c r="L13" s="78">
        <f>VLOOKUP(Q6,'SRT Data'!A:FA,108,TRUE)</f>
        <v>0</v>
      </c>
      <c r="M13" s="78">
        <f>VLOOKUP(Q6,'SRT Data'!A:FA,121,TRUE)</f>
        <v>0</v>
      </c>
      <c r="N13" s="78">
        <f>VLOOKUP(Q6,'SRT Data'!A:FA,134,TRUE)</f>
        <v>0</v>
      </c>
      <c r="O13" s="78">
        <f>VLOOKUP(Q6,'SRT Data'!A:FA,147,TRUE)</f>
        <v>0</v>
      </c>
      <c r="P13" s="79">
        <f>VLOOKUP(Q6,'SRT Data'!A:FO,160,TRUE)</f>
        <v>75</v>
      </c>
      <c r="Q13" s="80">
        <f t="shared" ref="Q13:Q24" si="0">SUM(D13:O13)/P13</f>
        <v>0.61333333333333329</v>
      </c>
    </row>
    <row r="14" spans="1:17" ht="30" customHeight="1" x14ac:dyDescent="0.25">
      <c r="A14" s="122" t="str">
        <f>VLOOKUP(Q6,'Code Sheet'!A1:G34,5,TRUE)</f>
        <v># Free events</v>
      </c>
      <c r="B14" s="123"/>
      <c r="C14" s="123"/>
      <c r="D14" s="78">
        <f>VLOOKUP(Q6,'SRT Data'!A:EZ,5,TRUE)</f>
        <v>18</v>
      </c>
      <c r="E14" s="78">
        <f>VLOOKUP(Q6,'SRT Data'!A:EZ,18,TRUE)</f>
        <v>18</v>
      </c>
      <c r="F14" s="78">
        <f>VLOOKUP(Q6,'SRT Data'!A:EZ,31,TRUE)</f>
        <v>13</v>
      </c>
      <c r="G14" s="78">
        <f>VLOOKUP(Q6,'SRT Data'!A:FA,44,TRUE)</f>
        <v>19</v>
      </c>
      <c r="H14" s="78">
        <f>VLOOKUP(Q6,'SRT Data'!A:FA,57,TRUE)</f>
        <v>13</v>
      </c>
      <c r="I14" s="78">
        <f>VLOOKUP(Q6,'SRT Data'!A:FA,70,TRUE)</f>
        <v>9</v>
      </c>
      <c r="J14" s="78">
        <f>VLOOKUP(Q6,'SRT Data'!A:FA,83,TRUE)</f>
        <v>21</v>
      </c>
      <c r="K14" s="78">
        <f>VLOOKUP(Q6,'SRT Data'!A:FA,96,TRUE)</f>
        <v>19</v>
      </c>
      <c r="L14" s="78">
        <f>VLOOKUP(Q6,'SRT Data'!A:FA,109,TRUE)</f>
        <v>0</v>
      </c>
      <c r="M14" s="78">
        <f>VLOOKUP(Q6,'SRT Data'!A:FA,122,TRUE)</f>
        <v>0</v>
      </c>
      <c r="N14" s="78">
        <f>VLOOKUP(Q6,'SRT Data'!A:FA,135,TRUE)</f>
        <v>0</v>
      </c>
      <c r="O14" s="78">
        <f>VLOOKUP(Q6,'SRT Data'!A:FA,148,TRUE)</f>
        <v>0</v>
      </c>
      <c r="P14" s="79">
        <f>VLOOKUP(Q6,'SRT Data'!A:FO,161,TRUE)</f>
        <v>190</v>
      </c>
      <c r="Q14" s="80">
        <f t="shared" si="0"/>
        <v>0.68421052631578949</v>
      </c>
    </row>
    <row r="15" spans="1:17" ht="30" customHeight="1" x14ac:dyDescent="0.25">
      <c r="A15" s="122" t="str">
        <f>VLOOKUP(Q6,'Code Sheet'!A1:G34,6,TRUE)</f>
        <v xml:space="preserve"># Visitors </v>
      </c>
      <c r="B15" s="123"/>
      <c r="C15" s="123"/>
      <c r="D15" s="78">
        <f>VLOOKUP(Q6,'SRT Data'!A:EZ,6,TRUE)</f>
        <v>1424</v>
      </c>
      <c r="E15" s="78">
        <f>VLOOKUP(Q6,'SRT Data'!A:EZ,19,TRUE)</f>
        <v>3254</v>
      </c>
      <c r="F15" s="78">
        <f>VLOOKUP(Q6,'SRT Data'!A:EZ,32,TRUE)</f>
        <v>5060</v>
      </c>
      <c r="G15" s="78">
        <f>VLOOKUP(Q6,'SRT Data'!A:FA,45,TRUE)</f>
        <v>5445</v>
      </c>
      <c r="H15" s="78">
        <f>VLOOKUP(Q6,'SRT Data'!A:FA,58,TRUE)</f>
        <v>5061</v>
      </c>
      <c r="I15" s="78">
        <f>VLOOKUP(Q6,'SRT Data'!A:FA,71,TRUE)</f>
        <v>7230</v>
      </c>
      <c r="J15" s="78">
        <f>VLOOKUP(Q6,'SRT Data'!A:FA,84,TRUE)</f>
        <v>1618</v>
      </c>
      <c r="K15" s="78">
        <f>VLOOKUP(Q6,'SRT Data'!A:FA,97,TRUE)</f>
        <v>2901</v>
      </c>
      <c r="L15" s="78">
        <f>VLOOKUP(Q6,'SRT Data'!A:FA,110,TRUE)</f>
        <v>0</v>
      </c>
      <c r="M15" s="78">
        <f>VLOOKUP(Q6,'SRT Data'!A:FA,123,TRUE)</f>
        <v>0</v>
      </c>
      <c r="N15" s="78">
        <f>VLOOKUP(Q6,'SRT Data'!A:FA,136,TRUE)</f>
        <v>0</v>
      </c>
      <c r="O15" s="78">
        <f>VLOOKUP(Q6,'SRT Data'!A:FA,149,TRUE)</f>
        <v>0</v>
      </c>
      <c r="P15" s="79">
        <f>VLOOKUP(Q6,'SRT Data'!A:FO,162,TRUE)</f>
        <v>45000</v>
      </c>
      <c r="Q15" s="80">
        <f t="shared" si="0"/>
        <v>0.71095555555555556</v>
      </c>
    </row>
    <row r="16" spans="1:17" ht="30" customHeight="1" x14ac:dyDescent="0.25">
      <c r="A16" s="122" t="str">
        <f>VLOOKUP(Q6,'Code Sheet'!A1:G34,7,TRUE)</f>
        <v># Un-rentable days due to rehearsals</v>
      </c>
      <c r="B16" s="123"/>
      <c r="C16" s="123"/>
      <c r="D16" s="78">
        <f>VLOOKUP(Q6,'SRT Data'!A:EZ,7,TRUE)</f>
        <v>22</v>
      </c>
      <c r="E16" s="78">
        <f>VLOOKUP(Q6,'SRT Data'!A:EZ,20,TRUE)</f>
        <v>2</v>
      </c>
      <c r="F16" s="78">
        <f>VLOOKUP(Q6,'SRT Data'!A:EZ,33,TRUE)</f>
        <v>6</v>
      </c>
      <c r="G16" s="78">
        <f>VLOOKUP(Q6,'SRT Data'!A:FA,46,TRUE)</f>
        <v>14</v>
      </c>
      <c r="H16" s="78">
        <f>VLOOKUP(Q6,'SRT Data'!A:FA,59,TRUE)</f>
        <v>17</v>
      </c>
      <c r="I16" s="78">
        <f>VLOOKUP(Q6,'SRT Data'!A:FA,72,TRUE)</f>
        <v>1</v>
      </c>
      <c r="J16" s="78">
        <f>VLOOKUP(Q6,'SRT Data'!A:FA,85,TRUE)</f>
        <v>1</v>
      </c>
      <c r="K16" s="78">
        <f>VLOOKUP(Q6,'SRT Data'!A:FA,98,TRUE)</f>
        <v>2</v>
      </c>
      <c r="L16" s="78">
        <f>VLOOKUP(Q6,'SRT Data'!A:FA,111,TRUE)</f>
        <v>0</v>
      </c>
      <c r="M16" s="78">
        <f>VLOOKUP(Q6,'SRT Data'!A:FA,124,TRUE)</f>
        <v>0</v>
      </c>
      <c r="N16" s="78">
        <f>VLOOKUP(Q6,'SRT Data'!A:FA,137,TRUE)</f>
        <v>0</v>
      </c>
      <c r="O16" s="78">
        <f>VLOOKUP(Q6,'SRT Data'!A:FA,150,TRUE)</f>
        <v>0</v>
      </c>
      <c r="P16" s="79">
        <f>VLOOKUP(Q6,'SRT Data'!A:FO,163,TRUE)</f>
        <v>60</v>
      </c>
      <c r="Q16" s="80">
        <f t="shared" si="0"/>
        <v>1.0833333333333333</v>
      </c>
    </row>
    <row r="17" spans="1:17" ht="30" customHeight="1" x14ac:dyDescent="0.25">
      <c r="A17" s="118">
        <f>VLOOKUP(Q6,'Code Sheet'!A1:L34,8,TRUE)</f>
        <v>0</v>
      </c>
      <c r="B17" s="119"/>
      <c r="C17" s="119"/>
      <c r="D17" s="78" t="str">
        <f>VLOOKUP(Q6,'SRT Data'!A:EZ,8,TRUE)</f>
        <v xml:space="preserve">  </v>
      </c>
      <c r="E17" s="78">
        <f>VLOOKUP(Q6,'SRT Data'!A:EZ,21,TRUE)</f>
        <v>0</v>
      </c>
      <c r="F17" s="78">
        <f>VLOOKUP(Q6,'SRT Data'!A:EZ,34,TRUE)</f>
        <v>0</v>
      </c>
      <c r="G17" s="78">
        <f>VLOOKUP(Q6,'SRT Data'!A:FA,47,TRUE)</f>
        <v>0</v>
      </c>
      <c r="H17" s="78">
        <f>VLOOKUP(Q6,'SRT Data'!A:FA,60,TRUE)</f>
        <v>0</v>
      </c>
      <c r="I17" s="78">
        <f>VLOOKUP(Q6,'SRT Data'!A:FA,73,TRUE)</f>
        <v>0</v>
      </c>
      <c r="J17" s="78">
        <f>VLOOKUP(Q6,'SRT Data'!A:FA,86,TRUE)</f>
        <v>0</v>
      </c>
      <c r="K17" s="78">
        <f>VLOOKUP(Q6,'SRT Data'!A:FA,99,TRUE)</f>
        <v>0</v>
      </c>
      <c r="L17" s="78">
        <f>VLOOKUP(Q6,'SRT Data'!A:FA,112,TRUE)</f>
        <v>0</v>
      </c>
      <c r="M17" s="78">
        <f>VLOOKUP(Q6,'SRT Data'!A:FA,125,TRUE)</f>
        <v>0</v>
      </c>
      <c r="N17" s="78">
        <f>VLOOKUP(Q6,'SRT Data'!A:FA,138,TRUE)</f>
        <v>0</v>
      </c>
      <c r="O17" s="78">
        <f>VLOOKUP(Q6,'SRT Data'!A:FA,151,TRUE)</f>
        <v>0</v>
      </c>
      <c r="P17" s="79">
        <f>VLOOKUP(Q6,'SRT Data'!A:FO,164,TRUE)</f>
        <v>0</v>
      </c>
      <c r="Q17" s="80" t="e">
        <f t="shared" si="0"/>
        <v>#DIV/0!</v>
      </c>
    </row>
    <row r="18" spans="1:17" ht="30" customHeight="1" x14ac:dyDescent="0.25">
      <c r="A18" s="118">
        <f>VLOOKUP(Q6,'Code Sheet'!A1:L34,9,TRUE)</f>
        <v>0</v>
      </c>
      <c r="B18" s="119"/>
      <c r="C18" s="119"/>
      <c r="D18" s="78">
        <f>VLOOKUP(Q6,'SRT Data'!A:EZ,9,TRUE)</f>
        <v>0</v>
      </c>
      <c r="E18" s="78">
        <f>VLOOKUP(Q6,'SRT Data'!A:EZ,22,TRUE)</f>
        <v>0</v>
      </c>
      <c r="F18" s="78">
        <f>VLOOKUP(Q6,'SRT Data'!A:EZ,35,TRUE)</f>
        <v>0</v>
      </c>
      <c r="G18" s="78">
        <f>VLOOKUP(Q6,'SRT Data'!A:FA,48,TRUE)</f>
        <v>0</v>
      </c>
      <c r="H18" s="78">
        <f>VLOOKUP(Q6,'SRT Data'!A:FA,61,TRUE)</f>
        <v>0</v>
      </c>
      <c r="I18" s="78">
        <f>VLOOKUP(Q6,'SRT Data'!A:FA,74,TRUE)</f>
        <v>0</v>
      </c>
      <c r="J18" s="78">
        <f>VLOOKUP(Q6,'SRT Data'!A:FA,87,TRUE)</f>
        <v>0</v>
      </c>
      <c r="K18" s="78">
        <f>VLOOKUP(Q6,'SRT Data'!A:FA,100,TRUE)</f>
        <v>0</v>
      </c>
      <c r="L18" s="78">
        <f>VLOOKUP(Q6,'SRT Data'!A:FA,113,TRUE)</f>
        <v>0</v>
      </c>
      <c r="M18" s="78">
        <f>VLOOKUP(Q6,'SRT Data'!A:FA,126,TRUE)</f>
        <v>0</v>
      </c>
      <c r="N18" s="78">
        <f>VLOOKUP(Q6,'SRT Data'!A:FA,139,TRUE)</f>
        <v>0</v>
      </c>
      <c r="O18" s="78">
        <f>VLOOKUP(Q6,'SRT Data'!A:FA,152,TRUE)</f>
        <v>0</v>
      </c>
      <c r="P18" s="79">
        <f>VLOOKUP(Q6,'SRT Data'!A:FO,165,TRUE)</f>
        <v>0</v>
      </c>
      <c r="Q18" s="80" t="e">
        <f t="shared" si="0"/>
        <v>#DIV/0!</v>
      </c>
    </row>
    <row r="19" spans="1:17" ht="30" customHeight="1" x14ac:dyDescent="0.25">
      <c r="A19" s="118">
        <f>VLOOKUP(Q6,'Code Sheet'!A1:L34,10,TRUE)</f>
        <v>0</v>
      </c>
      <c r="B19" s="119"/>
      <c r="C19" s="119"/>
      <c r="D19" s="78">
        <f>VLOOKUP(Q6,'SRT Data'!A:EZ,10,TRUE)</f>
        <v>0</v>
      </c>
      <c r="E19" s="78">
        <f>VLOOKUP(Q6,'SRT Data'!A:EZ,23,TRUE)</f>
        <v>0</v>
      </c>
      <c r="F19" s="78">
        <f>VLOOKUP(Q6,'SRT Data'!A:EZ,36,TRUE)</f>
        <v>0</v>
      </c>
      <c r="G19" s="78">
        <f>VLOOKUP(Q6,'SRT Data'!A:FA,49,TRUE)</f>
        <v>0</v>
      </c>
      <c r="H19" s="78">
        <f>VLOOKUP(Q6,'SRT Data'!A:FA,62,TRUE)</f>
        <v>0</v>
      </c>
      <c r="I19" s="78">
        <f>VLOOKUP(Q6,'SRT Data'!A:FA,75,TRUE)</f>
        <v>0</v>
      </c>
      <c r="J19" s="78">
        <f>VLOOKUP(Q6,'SRT Data'!A:FA,88,TRUE)</f>
        <v>0</v>
      </c>
      <c r="K19" s="78">
        <f>VLOOKUP(Q6,'SRT Data'!A:FA,101,TRUE)</f>
        <v>0</v>
      </c>
      <c r="L19" s="78">
        <f>VLOOKUP(Q6,'SRT Data'!A:FA,114,TRUE)</f>
        <v>0</v>
      </c>
      <c r="M19" s="78">
        <f>VLOOKUP(Q6,'SRT Data'!A:FA,127,TRUE)</f>
        <v>0</v>
      </c>
      <c r="N19" s="78">
        <f>VLOOKUP(Q6,'SRT Data'!A:FA,140,TRUE)</f>
        <v>0</v>
      </c>
      <c r="O19" s="78">
        <f>VLOOKUP(Q6,'SRT Data'!A:FA,153,TRUE)</f>
        <v>0</v>
      </c>
      <c r="P19" s="79">
        <f>VLOOKUP(Q6,'SRT Data'!A:FO,166,TRUE)</f>
        <v>0</v>
      </c>
      <c r="Q19" s="80" t="e">
        <f t="shared" si="0"/>
        <v>#DIV/0!</v>
      </c>
    </row>
    <row r="20" spans="1:17" ht="30" customHeight="1" x14ac:dyDescent="0.25">
      <c r="A20" s="118">
        <f>VLOOKUP(Q6,'Code Sheet'!A1:L34,11,TRUE)</f>
        <v>0</v>
      </c>
      <c r="B20" s="119"/>
      <c r="C20" s="119"/>
      <c r="D20" s="78">
        <f>VLOOKUP(Q6,'SRT Data'!A:EZ,11,TRUE)</f>
        <v>0</v>
      </c>
      <c r="E20" s="78">
        <f>VLOOKUP(Q6,'SRT Data'!A:EZ,24,TRUE)</f>
        <v>0</v>
      </c>
      <c r="F20" s="78">
        <f>VLOOKUP(Q6,'SRT Data'!A:EZ,37,TRUE)</f>
        <v>0</v>
      </c>
      <c r="G20" s="78">
        <f>VLOOKUP(Q6,'SRT Data'!A:FA,50,TRUE)</f>
        <v>0</v>
      </c>
      <c r="H20" s="78">
        <f>VLOOKUP(Q6,'SRT Data'!A:FA,63,TRUE)</f>
        <v>0</v>
      </c>
      <c r="I20" s="78">
        <f>VLOOKUP(Q6,'SRT Data'!A:FA,76,TRUE)</f>
        <v>0</v>
      </c>
      <c r="J20" s="78">
        <f>VLOOKUP(Q6,'SRT Data'!A:FA,89,TRUE)</f>
        <v>0</v>
      </c>
      <c r="K20" s="78">
        <f>VLOOKUP(Q6,'SRT Data'!A:FA,102,TRUE)</f>
        <v>0</v>
      </c>
      <c r="L20" s="78">
        <f>VLOOKUP(Q6,'SRT Data'!A:FA,115,TRUE)</f>
        <v>0</v>
      </c>
      <c r="M20" s="78">
        <f>VLOOKUP(Q6,'SRT Data'!A:FA,128,TRUE)</f>
        <v>0</v>
      </c>
      <c r="N20" s="78">
        <f>VLOOKUP(Q6,'SRT Data'!A:FA,141,TRUE)</f>
        <v>0</v>
      </c>
      <c r="O20" s="78">
        <f>VLOOKUP(Q6,'SRT Data'!A:FA,154,TRUE)</f>
        <v>0</v>
      </c>
      <c r="P20" s="79">
        <f>VLOOKUP(Q6,'SRT Data'!A:FO,167,TRUE)</f>
        <v>0</v>
      </c>
      <c r="Q20" s="80" t="e">
        <f t="shared" si="0"/>
        <v>#DIV/0!</v>
      </c>
    </row>
    <row r="21" spans="1:17" ht="30" customHeight="1" x14ac:dyDescent="0.25">
      <c r="A21" s="118">
        <f>VLOOKUP(Q6,'Code Sheet'!A1:L34,12,TRUE)</f>
        <v>0</v>
      </c>
      <c r="B21" s="119"/>
      <c r="C21" s="119"/>
      <c r="D21" s="78">
        <f>VLOOKUP(Q6,'SRT Data'!A:EZ,12,TRUE)</f>
        <v>0</v>
      </c>
      <c r="E21" s="78">
        <f>VLOOKUP(Q6,'SRT Data'!A:EZ,25,TRUE)</f>
        <v>0</v>
      </c>
      <c r="F21" s="78">
        <f>VLOOKUP(Q6,'SRT Data'!A:EZ,38,TRUE)</f>
        <v>0</v>
      </c>
      <c r="G21" s="78">
        <f>VLOOKUP(Q6,'SRT Data'!A:FA,51,TRUE)</f>
        <v>0</v>
      </c>
      <c r="H21" s="78">
        <f>VLOOKUP(Q6,'SRT Data'!A:FA,64,TRUE)</f>
        <v>0</v>
      </c>
      <c r="I21" s="78">
        <f>VLOOKUP(Q6,'SRT Data'!A:FA,77,TRUE)</f>
        <v>0</v>
      </c>
      <c r="J21" s="78">
        <f>VLOOKUP(Q6,'SRT Data'!A:FA,90,TRUE)</f>
        <v>0</v>
      </c>
      <c r="K21" s="78">
        <f>VLOOKUP(Q6,'SRT Data'!A:FA,103,TRUE)</f>
        <v>0</v>
      </c>
      <c r="L21" s="78">
        <f>VLOOKUP(Q6,'SRT Data'!A:FA,116,TRUE)</f>
        <v>0</v>
      </c>
      <c r="M21" s="78">
        <f>VLOOKUP(Q6,'SRT Data'!A:FA,129,TRUE)</f>
        <v>0</v>
      </c>
      <c r="N21" s="78">
        <f>VLOOKUP(Q6,'SRT Data'!A:FA,142,TRUE)</f>
        <v>0</v>
      </c>
      <c r="O21" s="78">
        <f>VLOOKUP(Q6,'SRT Data'!A:FA,155,TRUE)</f>
        <v>0</v>
      </c>
      <c r="P21" s="79">
        <f>VLOOKUP(Q6,'SRT Data'!A:FO,168,TRUE)</f>
        <v>0</v>
      </c>
      <c r="Q21" s="80" t="e">
        <f t="shared" si="0"/>
        <v>#DIV/0!</v>
      </c>
    </row>
    <row r="22" spans="1:17" ht="30" customHeight="1" x14ac:dyDescent="0.25">
      <c r="A22" s="118">
        <f>VLOOKUP(Q6,'Code Sheet'!A1:M35,13,TRUE)</f>
        <v>0</v>
      </c>
      <c r="B22" s="119"/>
      <c r="C22" s="119"/>
      <c r="D22" s="78">
        <f>VLOOKUP(Q6,'SRT Data'!A:EZ,13,TRUE)</f>
        <v>0</v>
      </c>
      <c r="E22" s="78">
        <f>VLOOKUP(Q6,'SRT Data'!A:EZ,26,TRUE)</f>
        <v>0</v>
      </c>
      <c r="F22" s="78">
        <f>VLOOKUP(Q6,'SRT Data'!A:EZ,39,TRUE)</f>
        <v>0</v>
      </c>
      <c r="G22" s="78">
        <f>VLOOKUP(Q6,'SRT Data'!A:FA,52,TRUE)</f>
        <v>0</v>
      </c>
      <c r="H22" s="78">
        <f>VLOOKUP(Q6,'SRT Data'!A:FA,65,TRUE)</f>
        <v>0</v>
      </c>
      <c r="I22" s="78">
        <f>VLOOKUP(Q6,'SRT Data'!A:FA,78,TRUE)</f>
        <v>0</v>
      </c>
      <c r="J22" s="78">
        <f>VLOOKUP(Q6,'SRT Data'!A:FA,91,TRUE)</f>
        <v>0</v>
      </c>
      <c r="K22" s="78">
        <f>VLOOKUP(Q6,'SRT Data'!A:FA,104,TRUE)</f>
        <v>0</v>
      </c>
      <c r="L22" s="78">
        <f>VLOOKUP(Q6,'SRT Data'!A:FA,117,TRUE)</f>
        <v>0</v>
      </c>
      <c r="M22" s="78">
        <f>VLOOKUP(Q6,'SRT Data'!A:FA,130,TRUE)</f>
        <v>0</v>
      </c>
      <c r="N22" s="78">
        <f>VLOOKUP(Q6,'SRT Data'!A:FA,143,TRUE)</f>
        <v>0</v>
      </c>
      <c r="O22" s="78">
        <f>VLOOKUP(Q6,'SRT Data'!A:FB,156,TRUE)</f>
        <v>0</v>
      </c>
      <c r="P22" s="79">
        <f>VLOOKUP(Q6,'SRT Data'!A:FO,169,TRUE)</f>
        <v>0</v>
      </c>
      <c r="Q22" s="80" t="e">
        <f t="shared" si="0"/>
        <v>#DIV/0!</v>
      </c>
    </row>
    <row r="23" spans="1:17" ht="30" customHeight="1" x14ac:dyDescent="0.25">
      <c r="A23" s="118">
        <f>VLOOKUP(Q6,'Code Sheet'!A1:O34,14,TRUE)</f>
        <v>0</v>
      </c>
      <c r="B23" s="119"/>
      <c r="C23" s="119"/>
      <c r="D23" s="78">
        <f>VLOOKUP(Q6,'SRT Data'!A:EZ,14,TRUE)</f>
        <v>0</v>
      </c>
      <c r="E23" s="78">
        <f>VLOOKUP(Q6,'SRT Data'!A:EZ,27,TRUE)</f>
        <v>0</v>
      </c>
      <c r="F23" s="78">
        <f>VLOOKUP(Q6,'SRT Data'!A:EZ,40,TRUE)</f>
        <v>0</v>
      </c>
      <c r="G23" s="78">
        <f>VLOOKUP(Q6,'SRT Data'!A:FA,53,TRUE)</f>
        <v>0</v>
      </c>
      <c r="H23" s="78">
        <f>VLOOKUP(Q6,'SRT Data'!A:FA,66,TRUE)</f>
        <v>0</v>
      </c>
      <c r="I23" s="78">
        <f>VLOOKUP(Q6,'SRT Data'!A:FA,79,TRUE)</f>
        <v>0</v>
      </c>
      <c r="J23" s="78">
        <f>VLOOKUP(Q6,'SRT Data'!A:FA,92,TRUE)</f>
        <v>0</v>
      </c>
      <c r="K23" s="78">
        <f>VLOOKUP(Q6,'SRT Data'!A:FA,105,TRUE)</f>
        <v>0</v>
      </c>
      <c r="L23" s="78">
        <f>VLOOKUP(Q6,'SRT Data'!A:FA,118,TRUE)</f>
        <v>0</v>
      </c>
      <c r="M23" s="78">
        <f>VLOOKUP(Q6,'SRT Data'!A:FA,131,TRUE)</f>
        <v>0</v>
      </c>
      <c r="N23" s="78">
        <f>VLOOKUP(Q6,'SRT Data'!A:FA,144,TRUE)</f>
        <v>0</v>
      </c>
      <c r="O23" s="78">
        <f>VLOOKUP(Q6,'SRT Data'!A:FB,157,TRUE)</f>
        <v>0</v>
      </c>
      <c r="P23" s="79">
        <f>VLOOKUP(Q6,'SRT Data'!A:FO,170,TRUE)</f>
        <v>0</v>
      </c>
      <c r="Q23" s="80" t="e">
        <f t="shared" si="0"/>
        <v>#DIV/0!</v>
      </c>
    </row>
    <row r="24" spans="1:17" ht="30" customHeight="1" thickBot="1" x14ac:dyDescent="0.3">
      <c r="A24" s="120">
        <f>VLOOKUP(Q6,'Code Sheet'!A1:O37,15,TRUE)</f>
        <v>0</v>
      </c>
      <c r="B24" s="121"/>
      <c r="C24" s="121"/>
      <c r="D24" s="81">
        <f>VLOOKUP(Q6,'SRT Data'!A:EZ,15,TRUE)</f>
        <v>0</v>
      </c>
      <c r="E24" s="81">
        <f>VLOOKUP(Q6,'SRT Data'!A:EZ,28,TRUE)</f>
        <v>0</v>
      </c>
      <c r="F24" s="81">
        <f>VLOOKUP(Q6,'SRT Data'!A:EZ,41,TRUE)</f>
        <v>0</v>
      </c>
      <c r="G24" s="81">
        <f>VLOOKUP(Q6,'SRT Data'!A:FA,54,TRUE)</f>
        <v>0</v>
      </c>
      <c r="H24" s="81">
        <f>VLOOKUP(Q6,'SRT Data'!A:FA,67,TRUE)</f>
        <v>0</v>
      </c>
      <c r="I24" s="81">
        <f>VLOOKUP(Q6,'SRT Data'!A:FA,80,TRUE)</f>
        <v>0</v>
      </c>
      <c r="J24" s="81">
        <f>VLOOKUP(Q6,'SRT Data'!A:FA,93,TRUE)</f>
        <v>0</v>
      </c>
      <c r="K24" s="81">
        <f>VLOOKUP(Q6,'SRT Data'!A:FA,106,TRUE)</f>
        <v>0</v>
      </c>
      <c r="L24" s="81">
        <f>VLOOKUP(Q6,'SRT Data'!A:FA,119,TRUE)</f>
        <v>0</v>
      </c>
      <c r="M24" s="81">
        <f>VLOOKUP(Q6,'SRT Data'!A:FA,132,TRUE)</f>
        <v>0</v>
      </c>
      <c r="N24" s="81">
        <f>VLOOKUP(Q6,'SRT Data'!A:FA,145,TRUE)</f>
        <v>0</v>
      </c>
      <c r="O24" s="81">
        <f>VLOOKUP(Q6,'SRT Data'!A:FB,158,TRUE)</f>
        <v>0</v>
      </c>
      <c r="P24" s="82">
        <f>VLOOKUP(Q6,'SRT Data'!A:FO,171,TRUE)</f>
        <v>0</v>
      </c>
      <c r="Q24" s="83" t="e">
        <f t="shared" si="0"/>
        <v>#DIV/0!</v>
      </c>
    </row>
    <row r="25" spans="1:17"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CM1" activePane="topRight"/>
      <selection activeCell="A7" sqref="A7:XFD7"/>
      <selection pane="topRight" activeCell="CU11" sqref="CU11"/>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9" t="s">
        <v>3</v>
      </c>
      <c r="B1" s="9" t="s">
        <v>1</v>
      </c>
      <c r="C1" s="9" t="s">
        <v>90</v>
      </c>
      <c r="D1" s="9" t="s">
        <v>91</v>
      </c>
      <c r="E1" s="9" t="s">
        <v>92</v>
      </c>
      <c r="F1" s="9" t="s">
        <v>93</v>
      </c>
      <c r="G1" s="9" t="s">
        <v>94</v>
      </c>
      <c r="H1" s="9" t="s">
        <v>95</v>
      </c>
      <c r="I1" s="9" t="s">
        <v>96</v>
      </c>
      <c r="J1" s="9" t="s">
        <v>97</v>
      </c>
      <c r="K1" s="9" t="s">
        <v>98</v>
      </c>
      <c r="L1" s="9" t="s">
        <v>99</v>
      </c>
      <c r="M1" s="9" t="s">
        <v>283</v>
      </c>
      <c r="N1" s="9" t="s">
        <v>284</v>
      </c>
      <c r="O1" s="9" t="s">
        <v>285</v>
      </c>
      <c r="P1" s="9" t="s">
        <v>102</v>
      </c>
      <c r="Q1" s="9" t="s">
        <v>103</v>
      </c>
      <c r="R1" s="9" t="s">
        <v>104</v>
      </c>
      <c r="S1" s="9" t="s">
        <v>105</v>
      </c>
      <c r="T1" s="9" t="s">
        <v>106</v>
      </c>
      <c r="U1" s="9" t="s">
        <v>107</v>
      </c>
      <c r="V1" s="9" t="s">
        <v>108</v>
      </c>
      <c r="W1" s="9" t="s">
        <v>109</v>
      </c>
      <c r="X1" s="9" t="s">
        <v>110</v>
      </c>
      <c r="Y1" s="9" t="s">
        <v>111</v>
      </c>
      <c r="Z1" s="9" t="s">
        <v>286</v>
      </c>
      <c r="AA1" s="9" t="s">
        <v>287</v>
      </c>
      <c r="AB1" s="9" t="s">
        <v>288</v>
      </c>
      <c r="AC1" s="9" t="s">
        <v>112</v>
      </c>
      <c r="AD1" s="9" t="s">
        <v>113</v>
      </c>
      <c r="AE1" s="9" t="s">
        <v>114</v>
      </c>
      <c r="AF1" s="9" t="s">
        <v>115</v>
      </c>
      <c r="AG1" s="9" t="s">
        <v>116</v>
      </c>
      <c r="AH1" s="9" t="s">
        <v>117</v>
      </c>
      <c r="AI1" s="9" t="s">
        <v>118</v>
      </c>
      <c r="AJ1" s="9" t="s">
        <v>119</v>
      </c>
      <c r="AK1" s="9" t="s">
        <v>120</v>
      </c>
      <c r="AL1" s="9" t="s">
        <v>121</v>
      </c>
      <c r="AM1" s="9" t="s">
        <v>289</v>
      </c>
      <c r="AN1" s="9" t="s">
        <v>290</v>
      </c>
      <c r="AO1" s="9" t="s">
        <v>291</v>
      </c>
      <c r="AP1" s="9" t="s">
        <v>127</v>
      </c>
      <c r="AQ1" s="9" t="s">
        <v>128</v>
      </c>
      <c r="AR1" s="9" t="s">
        <v>129</v>
      </c>
      <c r="AS1" s="9" t="s">
        <v>130</v>
      </c>
      <c r="AT1" s="9" t="s">
        <v>131</v>
      </c>
      <c r="AU1" s="9" t="s">
        <v>132</v>
      </c>
      <c r="AV1" s="9" t="s">
        <v>133</v>
      </c>
      <c r="AW1" s="9" t="s">
        <v>134</v>
      </c>
      <c r="AX1" s="9" t="s">
        <v>135</v>
      </c>
      <c r="AY1" s="9" t="s">
        <v>136</v>
      </c>
      <c r="AZ1" s="9" t="s">
        <v>292</v>
      </c>
      <c r="BA1" s="9" t="s">
        <v>293</v>
      </c>
      <c r="BB1" s="9" t="s">
        <v>294</v>
      </c>
      <c r="BC1" s="9" t="s">
        <v>137</v>
      </c>
      <c r="BD1" s="9" t="s">
        <v>138</v>
      </c>
      <c r="BE1" s="9" t="s">
        <v>139</v>
      </c>
      <c r="BF1" s="9" t="s">
        <v>140</v>
      </c>
      <c r="BG1" s="9" t="s">
        <v>141</v>
      </c>
      <c r="BH1" s="9" t="s">
        <v>142</v>
      </c>
      <c r="BI1" s="9" t="s">
        <v>143</v>
      </c>
      <c r="BJ1" s="9" t="s">
        <v>144</v>
      </c>
      <c r="BK1" s="9" t="s">
        <v>145</v>
      </c>
      <c r="BL1" s="9" t="s">
        <v>146</v>
      </c>
      <c r="BM1" s="9" t="s">
        <v>295</v>
      </c>
      <c r="BN1" s="9" t="s">
        <v>296</v>
      </c>
      <c r="BO1" s="9" t="s">
        <v>297</v>
      </c>
      <c r="BP1" s="9" t="s">
        <v>147</v>
      </c>
      <c r="BQ1" s="9" t="s">
        <v>148</v>
      </c>
      <c r="BR1" s="9" t="s">
        <v>149</v>
      </c>
      <c r="BS1" s="9" t="s">
        <v>150</v>
      </c>
      <c r="BT1" s="9" t="s">
        <v>151</v>
      </c>
      <c r="BU1" s="9" t="s">
        <v>152</v>
      </c>
      <c r="BV1" s="9" t="s">
        <v>153</v>
      </c>
      <c r="BW1" s="9" t="s">
        <v>154</v>
      </c>
      <c r="BX1" s="9" t="s">
        <v>155</v>
      </c>
      <c r="BY1" s="9" t="s">
        <v>156</v>
      </c>
      <c r="BZ1" s="9" t="s">
        <v>298</v>
      </c>
      <c r="CA1" s="9" t="s">
        <v>299</v>
      </c>
      <c r="CB1" s="9" t="s">
        <v>300</v>
      </c>
      <c r="CC1" s="9" t="s">
        <v>157</v>
      </c>
      <c r="CD1" s="9" t="s">
        <v>158</v>
      </c>
      <c r="CE1" s="9" t="s">
        <v>159</v>
      </c>
      <c r="CF1" s="9" t="s">
        <v>160</v>
      </c>
      <c r="CG1" s="9" t="s">
        <v>161</v>
      </c>
      <c r="CH1" s="9" t="s">
        <v>162</v>
      </c>
      <c r="CI1" s="9" t="s">
        <v>163</v>
      </c>
      <c r="CJ1" s="9" t="s">
        <v>164</v>
      </c>
      <c r="CK1" s="9" t="s">
        <v>165</v>
      </c>
      <c r="CL1" s="9" t="s">
        <v>166</v>
      </c>
      <c r="CM1" s="9" t="s">
        <v>301</v>
      </c>
      <c r="CN1" s="9" t="s">
        <v>302</v>
      </c>
      <c r="CO1" s="9" t="s">
        <v>303</v>
      </c>
      <c r="CP1" s="9" t="s">
        <v>167</v>
      </c>
      <c r="CQ1" s="9" t="s">
        <v>168</v>
      </c>
      <c r="CR1" s="9" t="s">
        <v>169</v>
      </c>
      <c r="CS1" s="9" t="s">
        <v>170</v>
      </c>
      <c r="CT1" s="9" t="s">
        <v>171</v>
      </c>
      <c r="CU1" s="9" t="s">
        <v>172</v>
      </c>
      <c r="CV1" s="9" t="s">
        <v>173</v>
      </c>
      <c r="CW1" s="9" t="s">
        <v>174</v>
      </c>
      <c r="CX1" s="9" t="s">
        <v>175</v>
      </c>
      <c r="CY1" s="9" t="s">
        <v>176</v>
      </c>
      <c r="CZ1" s="9" t="s">
        <v>304</v>
      </c>
      <c r="DA1" s="9" t="s">
        <v>305</v>
      </c>
      <c r="DB1" s="9" t="s">
        <v>306</v>
      </c>
      <c r="DC1" s="9" t="s">
        <v>177</v>
      </c>
      <c r="DD1" s="9" t="s">
        <v>178</v>
      </c>
      <c r="DE1" s="9" t="s">
        <v>179</v>
      </c>
      <c r="DF1" s="9" t="s">
        <v>180</v>
      </c>
      <c r="DG1" s="9" t="s">
        <v>181</v>
      </c>
      <c r="DH1" s="9" t="s">
        <v>182</v>
      </c>
      <c r="DI1" s="9" t="s">
        <v>183</v>
      </c>
      <c r="DJ1" s="9" t="s">
        <v>184</v>
      </c>
      <c r="DK1" s="9" t="s">
        <v>185</v>
      </c>
      <c r="DL1" s="9" t="s">
        <v>186</v>
      </c>
      <c r="DM1" s="9" t="s">
        <v>307</v>
      </c>
      <c r="DN1" s="9" t="s">
        <v>308</v>
      </c>
      <c r="DO1" s="9" t="s">
        <v>309</v>
      </c>
      <c r="DP1" s="9" t="s">
        <v>190</v>
      </c>
      <c r="DQ1" s="9" t="s">
        <v>191</v>
      </c>
      <c r="DR1" s="9" t="s">
        <v>192</v>
      </c>
      <c r="DS1" s="9" t="s">
        <v>193</v>
      </c>
      <c r="DT1" s="9" t="s">
        <v>194</v>
      </c>
      <c r="DU1" s="9" t="s">
        <v>195</v>
      </c>
      <c r="DV1" s="9" t="s">
        <v>196</v>
      </c>
      <c r="DW1" s="9" t="s">
        <v>197</v>
      </c>
      <c r="DX1" s="9" t="s">
        <v>198</v>
      </c>
      <c r="DY1" s="9" t="s">
        <v>199</v>
      </c>
      <c r="DZ1" s="9" t="s">
        <v>310</v>
      </c>
      <c r="EA1" s="9" t="s">
        <v>311</v>
      </c>
      <c r="EB1" s="9" t="s">
        <v>312</v>
      </c>
      <c r="EC1" s="9" t="s">
        <v>200</v>
      </c>
      <c r="ED1" s="9" t="s">
        <v>201</v>
      </c>
      <c r="EE1" s="9" t="s">
        <v>202</v>
      </c>
      <c r="EF1" s="9" t="s">
        <v>203</v>
      </c>
      <c r="EG1" s="9" t="s">
        <v>204</v>
      </c>
      <c r="EH1" s="9" t="s">
        <v>205</v>
      </c>
      <c r="EI1" s="9" t="s">
        <v>206</v>
      </c>
      <c r="EJ1" s="9" t="s">
        <v>207</v>
      </c>
      <c r="EK1" s="9" t="s">
        <v>208</v>
      </c>
      <c r="EL1" s="9" t="s">
        <v>209</v>
      </c>
      <c r="EM1" s="9" t="s">
        <v>313</v>
      </c>
      <c r="EN1" s="9" t="s">
        <v>314</v>
      </c>
      <c r="EO1" s="9" t="s">
        <v>315</v>
      </c>
      <c r="EP1" s="9" t="s">
        <v>210</v>
      </c>
      <c r="EQ1" s="9" t="s">
        <v>211</v>
      </c>
      <c r="ER1" s="9" t="s">
        <v>212</v>
      </c>
      <c r="ES1" s="9" t="s">
        <v>213</v>
      </c>
      <c r="ET1" s="9" t="s">
        <v>214</v>
      </c>
      <c r="EU1" s="9" t="s">
        <v>215</v>
      </c>
      <c r="EV1" s="9" t="s">
        <v>216</v>
      </c>
      <c r="EW1" s="9" t="s">
        <v>217</v>
      </c>
      <c r="EX1" s="9" t="s">
        <v>218</v>
      </c>
      <c r="EY1" s="9" t="s">
        <v>219</v>
      </c>
      <c r="EZ1" s="9" t="s">
        <v>316</v>
      </c>
      <c r="FA1" s="9" t="s">
        <v>317</v>
      </c>
      <c r="FB1" s="9" t="s">
        <v>318</v>
      </c>
      <c r="FC1" s="9" t="s">
        <v>414</v>
      </c>
      <c r="FD1" s="9" t="s">
        <v>415</v>
      </c>
      <c r="FE1" s="9" t="s">
        <v>416</v>
      </c>
      <c r="FF1" s="9" t="s">
        <v>417</v>
      </c>
      <c r="FG1" s="9" t="s">
        <v>418</v>
      </c>
      <c r="FH1" s="9" t="s">
        <v>419</v>
      </c>
      <c r="FI1" s="9" t="s">
        <v>420</v>
      </c>
      <c r="FJ1" s="9" t="s">
        <v>421</v>
      </c>
      <c r="FK1" s="9" t="s">
        <v>422</v>
      </c>
      <c r="FL1" s="9" t="s">
        <v>423</v>
      </c>
      <c r="FM1" s="9" t="s">
        <v>424</v>
      </c>
      <c r="FN1" s="9" t="s">
        <v>425</v>
      </c>
      <c r="FO1" s="9" t="s">
        <v>426</v>
      </c>
    </row>
    <row r="2" spans="1:171" x14ac:dyDescent="0.25">
      <c r="A2" s="25">
        <v>1</v>
      </c>
      <c r="B2" s="26" t="s">
        <v>221</v>
      </c>
      <c r="C2" s="16">
        <v>7672</v>
      </c>
      <c r="D2" s="16">
        <v>3</v>
      </c>
      <c r="E2" s="16">
        <v>18</v>
      </c>
      <c r="F2" s="16">
        <v>1424</v>
      </c>
      <c r="G2" s="16">
        <v>22</v>
      </c>
      <c r="H2" s="16" t="s">
        <v>499</v>
      </c>
      <c r="I2" s="16"/>
      <c r="J2" s="11"/>
      <c r="K2" s="11"/>
      <c r="L2" s="9"/>
      <c r="M2" s="9"/>
      <c r="N2" s="9"/>
      <c r="O2" s="9"/>
      <c r="P2" s="16">
        <v>6681</v>
      </c>
      <c r="Q2" s="16">
        <v>5</v>
      </c>
      <c r="R2" s="16">
        <v>18</v>
      </c>
      <c r="S2" s="16">
        <v>3254</v>
      </c>
      <c r="T2" s="16">
        <v>2</v>
      </c>
      <c r="U2" s="17"/>
      <c r="V2" s="17"/>
      <c r="W2" s="17"/>
      <c r="X2" s="17"/>
      <c r="Y2" s="17"/>
      <c r="Z2" s="17"/>
      <c r="AA2" s="17"/>
      <c r="AB2" s="17"/>
      <c r="AC2" s="16">
        <v>2656</v>
      </c>
      <c r="AD2" s="16">
        <v>6</v>
      </c>
      <c r="AE2" s="16">
        <v>13</v>
      </c>
      <c r="AF2" s="16">
        <v>5060</v>
      </c>
      <c r="AG2" s="16">
        <v>6</v>
      </c>
      <c r="AH2" s="16"/>
      <c r="AI2" s="16"/>
      <c r="AJ2" s="16"/>
      <c r="AK2" s="16"/>
      <c r="AL2" s="16"/>
      <c r="AM2" s="16"/>
      <c r="AN2" s="16"/>
      <c r="AO2" s="16"/>
      <c r="AP2" s="16">
        <v>9577</v>
      </c>
      <c r="AQ2" s="16">
        <v>11</v>
      </c>
      <c r="AR2" s="16">
        <v>19</v>
      </c>
      <c r="AS2" s="16">
        <v>5445</v>
      </c>
      <c r="AT2" s="16">
        <v>14</v>
      </c>
      <c r="AU2" s="16"/>
      <c r="AV2" s="16"/>
      <c r="AW2" s="16"/>
      <c r="AX2" s="16"/>
      <c r="AY2" s="16"/>
      <c r="AZ2" s="16"/>
      <c r="BA2" s="16"/>
      <c r="BB2" s="16"/>
      <c r="BC2" s="16">
        <v>7412</v>
      </c>
      <c r="BD2" s="16">
        <v>5</v>
      </c>
      <c r="BE2" s="16">
        <v>13</v>
      </c>
      <c r="BF2" s="16">
        <v>5061</v>
      </c>
      <c r="BG2" s="16">
        <v>17</v>
      </c>
      <c r="BH2" s="16"/>
      <c r="BI2" s="16"/>
      <c r="BJ2" s="16"/>
      <c r="BK2" s="16"/>
      <c r="BL2" s="16"/>
      <c r="BM2" s="16"/>
      <c r="BN2" s="16"/>
      <c r="BO2" s="16"/>
      <c r="BP2">
        <v>2030</v>
      </c>
      <c r="BQ2">
        <v>9</v>
      </c>
      <c r="BR2">
        <v>9</v>
      </c>
      <c r="BS2">
        <v>7230</v>
      </c>
      <c r="BT2">
        <v>1</v>
      </c>
      <c r="BU2" s="16"/>
      <c r="BV2" s="16"/>
      <c r="BW2" s="16"/>
      <c r="BX2" s="16"/>
      <c r="BY2" s="16"/>
      <c r="BZ2" s="16"/>
      <c r="CA2" s="16"/>
      <c r="CB2" s="16"/>
      <c r="CC2" s="16">
        <v>2675</v>
      </c>
      <c r="CD2" s="16">
        <v>5</v>
      </c>
      <c r="CE2" s="16">
        <v>21</v>
      </c>
      <c r="CF2" s="16">
        <v>1618</v>
      </c>
      <c r="CG2" s="16">
        <v>1</v>
      </c>
      <c r="CH2" s="16"/>
      <c r="CI2" s="16"/>
      <c r="CJ2" s="16"/>
      <c r="CK2" s="16"/>
      <c r="CL2" s="16"/>
      <c r="CM2" s="16"/>
      <c r="CN2" s="16"/>
      <c r="CO2" s="16"/>
      <c r="CP2" s="16">
        <v>7431</v>
      </c>
      <c r="CQ2" s="16">
        <v>2</v>
      </c>
      <c r="CR2" s="16">
        <v>19</v>
      </c>
      <c r="CS2" s="16">
        <v>2901</v>
      </c>
      <c r="CT2" s="16">
        <v>2</v>
      </c>
      <c r="CU2" s="16"/>
      <c r="CV2" s="11"/>
      <c r="CW2" s="11"/>
      <c r="CX2" s="11"/>
      <c r="CY2" s="11"/>
      <c r="CZ2" s="11"/>
      <c r="DA2" s="11"/>
      <c r="DB2" s="11"/>
      <c r="DC2" s="16"/>
      <c r="DD2" s="16"/>
      <c r="DE2" s="16"/>
      <c r="DF2" s="16"/>
      <c r="DG2" s="16"/>
      <c r="DH2" s="16"/>
      <c r="DI2" s="16"/>
      <c r="DJ2" s="16"/>
      <c r="DK2" s="16"/>
      <c r="DL2" s="16"/>
      <c r="DM2" s="16"/>
      <c r="DN2" s="11"/>
      <c r="DO2" s="11"/>
      <c r="DP2" s="16"/>
      <c r="DQ2" s="16"/>
      <c r="DR2" s="16"/>
      <c r="DS2" s="16"/>
      <c r="DT2" s="16"/>
      <c r="DU2" s="16"/>
      <c r="DV2" s="16"/>
      <c r="DW2" s="16"/>
      <c r="DX2" s="16"/>
      <c r="DY2" s="16"/>
      <c r="DZ2" s="16"/>
      <c r="EA2" s="16"/>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56">
        <v>60000</v>
      </c>
      <c r="FD2" s="56">
        <v>75</v>
      </c>
      <c r="FE2" s="56">
        <v>190</v>
      </c>
      <c r="FF2" s="56">
        <v>45000</v>
      </c>
      <c r="FG2" s="56">
        <v>60</v>
      </c>
      <c r="FH2" s="56"/>
      <c r="FI2" s="56"/>
      <c r="FJ2" s="56"/>
      <c r="FK2" s="56"/>
      <c r="FL2" s="56"/>
      <c r="FM2" s="56"/>
      <c r="FN2" s="56"/>
      <c r="FO2" s="56"/>
    </row>
    <row r="3" spans="1:171" x14ac:dyDescent="0.25">
      <c r="A3" s="29">
        <v>2</v>
      </c>
      <c r="B3" s="27" t="s">
        <v>4</v>
      </c>
      <c r="C3" s="16">
        <v>1322</v>
      </c>
      <c r="D3" s="16">
        <v>2224</v>
      </c>
      <c r="E3" s="16">
        <v>3818</v>
      </c>
      <c r="F3" s="16">
        <v>30</v>
      </c>
      <c r="G3" s="16">
        <v>5125</v>
      </c>
      <c r="H3" s="16">
        <v>9</v>
      </c>
      <c r="I3" s="16">
        <v>213</v>
      </c>
      <c r="J3" s="16">
        <v>1000</v>
      </c>
      <c r="K3" s="11"/>
      <c r="L3" s="11"/>
      <c r="M3" s="11"/>
      <c r="N3" s="11"/>
      <c r="O3" s="11"/>
      <c r="P3" s="16">
        <v>1045</v>
      </c>
      <c r="Q3" s="16">
        <v>2798</v>
      </c>
      <c r="R3" s="16">
        <v>4175</v>
      </c>
      <c r="S3" s="16">
        <v>30</v>
      </c>
      <c r="T3" s="16">
        <v>5150</v>
      </c>
      <c r="U3" s="16">
        <v>9</v>
      </c>
      <c r="V3" s="16">
        <v>225</v>
      </c>
      <c r="W3" s="16">
        <v>1150</v>
      </c>
      <c r="X3" s="16"/>
      <c r="Y3" s="16"/>
      <c r="Z3" s="16"/>
      <c r="AA3" s="16"/>
      <c r="AB3" s="16"/>
      <c r="AC3" s="16">
        <v>998</v>
      </c>
      <c r="AD3" s="16">
        <v>2070</v>
      </c>
      <c r="AE3" s="16">
        <v>5270</v>
      </c>
      <c r="AF3" s="16">
        <v>30</v>
      </c>
      <c r="AG3" s="16">
        <v>5115</v>
      </c>
      <c r="AH3" s="16">
        <v>9</v>
      </c>
      <c r="AI3" s="16">
        <v>225</v>
      </c>
      <c r="AJ3" s="16">
        <v>1150</v>
      </c>
      <c r="AK3" s="16"/>
      <c r="AL3" s="16"/>
      <c r="AM3" s="16"/>
      <c r="AN3" s="16"/>
      <c r="AO3" s="16"/>
      <c r="AP3" s="16">
        <v>1388</v>
      </c>
      <c r="AQ3" s="16">
        <v>3066</v>
      </c>
      <c r="AR3" s="16">
        <v>4353</v>
      </c>
      <c r="AS3" s="16">
        <v>30</v>
      </c>
      <c r="AT3" s="16">
        <v>5150</v>
      </c>
      <c r="AU3" s="16">
        <v>9</v>
      </c>
      <c r="AV3" s="16">
        <v>225</v>
      </c>
      <c r="AW3" s="16">
        <v>1000</v>
      </c>
      <c r="AX3" s="16"/>
      <c r="AY3" s="16"/>
      <c r="AZ3" s="16"/>
      <c r="BA3" s="16"/>
      <c r="BB3" s="16"/>
      <c r="BC3" s="16">
        <v>776</v>
      </c>
      <c r="BD3" s="16">
        <v>2039</v>
      </c>
      <c r="BE3" s="16">
        <v>3359</v>
      </c>
      <c r="BF3" s="16">
        <v>30</v>
      </c>
      <c r="BG3" s="16">
        <v>5150</v>
      </c>
      <c r="BH3" s="16">
        <v>9</v>
      </c>
      <c r="BI3" s="16">
        <v>225</v>
      </c>
      <c r="BJ3" s="16">
        <v>1430</v>
      </c>
      <c r="BK3" s="16"/>
      <c r="BL3" s="16"/>
      <c r="BM3" s="16"/>
      <c r="BN3" s="16"/>
      <c r="BO3" s="16"/>
      <c r="BP3" s="16">
        <v>629</v>
      </c>
      <c r="BQ3" s="16">
        <v>2969</v>
      </c>
      <c r="BR3" s="16">
        <v>3964</v>
      </c>
      <c r="BS3" s="16">
        <v>30</v>
      </c>
      <c r="BT3" s="16">
        <v>5150</v>
      </c>
      <c r="BU3" s="16">
        <v>9</v>
      </c>
      <c r="BV3" s="16">
        <v>225</v>
      </c>
      <c r="BW3" s="16">
        <v>1480</v>
      </c>
      <c r="BX3" s="16"/>
      <c r="BY3" s="16"/>
      <c r="BZ3" s="16"/>
      <c r="CA3" s="16"/>
      <c r="CB3" s="16"/>
      <c r="CC3" s="16">
        <v>1282</v>
      </c>
      <c r="CD3" s="16">
        <v>3086</v>
      </c>
      <c r="CE3" s="16">
        <v>3671</v>
      </c>
      <c r="CF3" s="16">
        <v>29</v>
      </c>
      <c r="CG3" s="16">
        <v>5125</v>
      </c>
      <c r="CH3" s="16">
        <v>9</v>
      </c>
      <c r="CI3" s="16">
        <v>225</v>
      </c>
      <c r="CJ3" s="16">
        <v>1430</v>
      </c>
      <c r="CK3" s="16"/>
      <c r="CL3" s="16"/>
      <c r="CM3" s="16"/>
      <c r="CN3" s="16"/>
      <c r="CO3" s="16"/>
      <c r="CP3" s="16">
        <v>1203</v>
      </c>
      <c r="CQ3" s="16">
        <v>3184</v>
      </c>
      <c r="CR3" s="16">
        <v>3639</v>
      </c>
      <c r="CS3" s="16">
        <v>29</v>
      </c>
      <c r="CT3" s="16">
        <v>5125</v>
      </c>
      <c r="CU3" s="16">
        <v>9</v>
      </c>
      <c r="CV3" s="16">
        <v>225</v>
      </c>
      <c r="CW3" s="16">
        <v>1430</v>
      </c>
      <c r="CX3" s="11"/>
      <c r="CY3" s="11"/>
      <c r="CZ3" s="11"/>
      <c r="DA3" s="11"/>
      <c r="DB3" s="11"/>
      <c r="DC3" s="10"/>
      <c r="DD3" s="10"/>
      <c r="DE3" s="10"/>
      <c r="DF3" s="10"/>
      <c r="DG3" s="10"/>
      <c r="DH3" s="10"/>
      <c r="DI3" s="10"/>
      <c r="DJ3" s="10"/>
      <c r="DK3" s="11"/>
      <c r="DL3" s="11"/>
      <c r="DM3" s="11"/>
      <c r="DN3" s="11"/>
      <c r="DO3" s="11"/>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56">
        <v>15000</v>
      </c>
      <c r="FD3" s="56">
        <v>37000</v>
      </c>
      <c r="FE3" s="56">
        <v>65000</v>
      </c>
      <c r="FF3" s="56">
        <v>30</v>
      </c>
      <c r="FG3" s="56">
        <v>57000</v>
      </c>
      <c r="FH3" s="56">
        <v>6</v>
      </c>
      <c r="FI3" s="56">
        <v>1700</v>
      </c>
      <c r="FJ3" s="56">
        <v>7500</v>
      </c>
      <c r="FK3" s="56"/>
      <c r="FL3" s="56"/>
      <c r="FM3" s="56"/>
      <c r="FN3" s="56"/>
      <c r="FO3" s="56"/>
    </row>
    <row r="4" spans="1:171" x14ac:dyDescent="0.25">
      <c r="A4" s="29">
        <v>3</v>
      </c>
      <c r="B4" s="27" t="s">
        <v>235</v>
      </c>
      <c r="C4" s="16">
        <v>299</v>
      </c>
      <c r="D4" s="16">
        <v>14.2</v>
      </c>
      <c r="E4" s="16">
        <v>159</v>
      </c>
      <c r="F4" s="16">
        <v>52</v>
      </c>
      <c r="G4" s="16">
        <v>1</v>
      </c>
      <c r="H4" s="16">
        <v>18</v>
      </c>
      <c r="I4" s="16">
        <v>1</v>
      </c>
      <c r="J4" s="16">
        <v>10</v>
      </c>
      <c r="K4" s="11"/>
      <c r="L4" s="9"/>
      <c r="M4" s="9"/>
      <c r="N4" s="9"/>
      <c r="O4" s="9"/>
      <c r="P4" s="16">
        <v>254</v>
      </c>
      <c r="Q4" s="16">
        <v>11</v>
      </c>
      <c r="R4" s="16">
        <v>131</v>
      </c>
      <c r="S4" s="16">
        <v>53</v>
      </c>
      <c r="T4" s="16">
        <v>0</v>
      </c>
      <c r="U4" s="16">
        <v>7</v>
      </c>
      <c r="V4" s="16">
        <v>19</v>
      </c>
      <c r="W4" s="16">
        <v>47</v>
      </c>
      <c r="X4" s="16"/>
      <c r="Y4" s="16"/>
      <c r="Z4" s="16"/>
      <c r="AA4" s="16"/>
      <c r="AB4" s="16"/>
      <c r="AC4" s="16">
        <v>196</v>
      </c>
      <c r="AD4" s="16">
        <v>10.9</v>
      </c>
      <c r="AE4" s="16">
        <v>98</v>
      </c>
      <c r="AF4" s="16">
        <v>36</v>
      </c>
      <c r="AG4" s="16">
        <v>1</v>
      </c>
      <c r="AH4" s="16">
        <v>10</v>
      </c>
      <c r="AI4" s="16">
        <v>15</v>
      </c>
      <c r="AJ4" s="16">
        <v>27</v>
      </c>
      <c r="AK4" s="16"/>
      <c r="AL4" s="16"/>
      <c r="AM4" s="16"/>
      <c r="AN4" s="16"/>
      <c r="AO4" s="16"/>
      <c r="AP4" s="16">
        <v>291</v>
      </c>
      <c r="AQ4" s="16">
        <v>12.6</v>
      </c>
      <c r="AR4" s="16">
        <v>127</v>
      </c>
      <c r="AS4" s="16">
        <v>30</v>
      </c>
      <c r="AT4" s="16">
        <v>1</v>
      </c>
      <c r="AU4" s="16">
        <v>6</v>
      </c>
      <c r="AV4" s="16">
        <v>12</v>
      </c>
      <c r="AW4" s="16">
        <v>73</v>
      </c>
      <c r="AX4" s="16"/>
      <c r="AY4" s="16"/>
      <c r="AZ4" s="16"/>
      <c r="BA4" s="16"/>
      <c r="BB4" s="16"/>
      <c r="BC4" s="16">
        <v>210</v>
      </c>
      <c r="BD4" s="16">
        <v>11.1</v>
      </c>
      <c r="BE4" s="16">
        <v>91</v>
      </c>
      <c r="BF4" s="16">
        <v>30</v>
      </c>
      <c r="BG4" s="16">
        <v>1</v>
      </c>
      <c r="BH4" s="16">
        <v>8</v>
      </c>
      <c r="BI4" s="16">
        <v>22</v>
      </c>
      <c r="BJ4" s="16">
        <v>36</v>
      </c>
      <c r="BK4" s="16"/>
      <c r="BL4" s="16"/>
      <c r="BM4" s="16"/>
      <c r="BN4" s="16"/>
      <c r="BO4" s="16"/>
      <c r="BP4" s="16">
        <v>241</v>
      </c>
      <c r="BQ4" s="16">
        <v>13.4</v>
      </c>
      <c r="BR4" s="16">
        <v>88</v>
      </c>
      <c r="BS4" s="16">
        <v>22</v>
      </c>
      <c r="BT4" s="16">
        <v>0</v>
      </c>
      <c r="BU4" s="16">
        <v>9</v>
      </c>
      <c r="BV4" s="16">
        <v>9</v>
      </c>
      <c r="BW4" s="16">
        <v>39</v>
      </c>
      <c r="BX4" s="16"/>
      <c r="BY4" s="16"/>
      <c r="BZ4" s="16"/>
      <c r="CA4" s="16"/>
      <c r="CB4" s="16"/>
      <c r="CC4" s="16">
        <v>145</v>
      </c>
      <c r="CD4" s="16">
        <v>6.9</v>
      </c>
      <c r="CE4" s="16">
        <v>76</v>
      </c>
      <c r="CF4" s="16">
        <v>45</v>
      </c>
      <c r="CG4" s="16">
        <v>1</v>
      </c>
      <c r="CH4" s="16">
        <v>10</v>
      </c>
      <c r="CI4" s="16">
        <v>22</v>
      </c>
      <c r="CJ4" s="16">
        <v>15</v>
      </c>
      <c r="CK4" s="16"/>
      <c r="CL4" s="16"/>
      <c r="CM4" s="16"/>
      <c r="CN4" s="16"/>
      <c r="CO4" s="16"/>
      <c r="CP4" s="16">
        <v>190</v>
      </c>
      <c r="CQ4" s="16">
        <v>9.5</v>
      </c>
      <c r="CR4" s="16">
        <v>91</v>
      </c>
      <c r="CS4" s="16">
        <v>30</v>
      </c>
      <c r="CT4" s="16">
        <v>1</v>
      </c>
      <c r="CU4" s="16">
        <v>8</v>
      </c>
      <c r="CV4" s="16">
        <v>24</v>
      </c>
      <c r="CW4" s="16">
        <v>24</v>
      </c>
      <c r="CX4" s="11"/>
      <c r="CY4" s="11"/>
      <c r="CZ4" s="11"/>
      <c r="DA4" s="11"/>
      <c r="DB4" s="11"/>
      <c r="DC4" s="16"/>
      <c r="DD4" s="16"/>
      <c r="DE4" s="16"/>
      <c r="DF4" s="16"/>
      <c r="DG4" s="16"/>
      <c r="DH4" s="16"/>
      <c r="DI4" s="16"/>
      <c r="DJ4" s="16"/>
      <c r="DK4" s="16"/>
      <c r="DL4" s="16"/>
      <c r="DM4" s="11"/>
      <c r="DN4" s="11"/>
      <c r="DO4" s="11"/>
      <c r="DP4" s="16"/>
      <c r="DQ4" s="16"/>
      <c r="DR4" s="16"/>
      <c r="DS4" s="16"/>
      <c r="DT4" s="16"/>
      <c r="DU4" s="16"/>
      <c r="DV4" s="16"/>
      <c r="DW4" s="16"/>
      <c r="DX4" s="16"/>
      <c r="DY4" s="16"/>
      <c r="DZ4" s="16"/>
      <c r="EA4" s="16"/>
      <c r="EB4" s="16"/>
      <c r="EC4" s="16"/>
      <c r="ED4" s="10"/>
      <c r="EE4" s="16"/>
      <c r="EF4" s="10"/>
      <c r="EG4" s="10"/>
      <c r="EH4" s="10"/>
      <c r="EI4" s="10"/>
      <c r="EJ4" s="10"/>
      <c r="EK4" s="10"/>
      <c r="EL4" s="10"/>
      <c r="EM4" s="10"/>
      <c r="EN4" s="10"/>
      <c r="EO4" s="10"/>
      <c r="EP4" s="10"/>
      <c r="EQ4" s="10"/>
      <c r="ER4" s="10"/>
      <c r="ES4" s="10"/>
      <c r="ET4" s="10"/>
      <c r="EU4" s="10"/>
      <c r="EV4" s="10"/>
      <c r="EW4" s="10"/>
      <c r="EX4" s="10"/>
      <c r="EY4" s="10"/>
      <c r="EZ4" s="10"/>
      <c r="FA4" s="10"/>
      <c r="FB4" s="10"/>
      <c r="FC4" s="56">
        <v>3000</v>
      </c>
      <c r="FD4" s="56">
        <v>12.5</v>
      </c>
      <c r="FE4" s="56">
        <v>1575</v>
      </c>
      <c r="FF4" s="56">
        <v>135</v>
      </c>
      <c r="FG4" s="56">
        <v>15</v>
      </c>
      <c r="FH4" s="56">
        <v>120</v>
      </c>
      <c r="FI4" s="56"/>
      <c r="FJ4" s="56"/>
      <c r="FK4" s="56"/>
      <c r="FL4" s="56"/>
      <c r="FM4" s="56"/>
      <c r="FN4" s="56"/>
      <c r="FO4" s="56"/>
    </row>
    <row r="5" spans="1:171" x14ac:dyDescent="0.25">
      <c r="A5" s="29">
        <v>4</v>
      </c>
      <c r="B5" s="27" t="s">
        <v>5</v>
      </c>
      <c r="C5" s="10">
        <v>41525</v>
      </c>
      <c r="D5" s="10">
        <v>1777</v>
      </c>
      <c r="E5" s="10">
        <v>130</v>
      </c>
      <c r="F5" s="10">
        <v>123</v>
      </c>
      <c r="G5" s="16"/>
      <c r="H5" s="16"/>
      <c r="I5" s="16"/>
      <c r="J5" s="16"/>
      <c r="K5" s="16"/>
      <c r="L5" s="10"/>
      <c r="M5" s="10"/>
      <c r="N5" s="10"/>
      <c r="O5" s="10"/>
      <c r="P5" s="10">
        <v>41611</v>
      </c>
      <c r="Q5" s="10">
        <v>1939</v>
      </c>
      <c r="R5" s="10">
        <v>215</v>
      </c>
      <c r="S5" s="10">
        <v>126</v>
      </c>
      <c r="T5" s="16"/>
      <c r="U5" s="10"/>
      <c r="V5" s="10"/>
      <c r="W5" s="10"/>
      <c r="X5" s="10"/>
      <c r="Y5" s="10"/>
      <c r="Z5" s="10"/>
      <c r="AA5" s="10"/>
      <c r="AB5" s="10"/>
      <c r="AC5" s="10">
        <v>41672</v>
      </c>
      <c r="AD5" s="10">
        <v>2337</v>
      </c>
      <c r="AE5" s="10">
        <v>190</v>
      </c>
      <c r="AF5" s="10">
        <v>130</v>
      </c>
      <c r="AG5" s="10"/>
      <c r="AH5" s="10"/>
      <c r="AI5" s="10"/>
      <c r="AJ5" s="10"/>
      <c r="AK5" s="10"/>
      <c r="AL5" s="10"/>
      <c r="AM5" s="10"/>
      <c r="AN5" s="10"/>
      <c r="AO5" s="10"/>
      <c r="AP5" s="10">
        <v>41856</v>
      </c>
      <c r="AQ5" s="10">
        <v>2615</v>
      </c>
      <c r="AR5" s="10">
        <v>398</v>
      </c>
      <c r="AS5" s="10">
        <v>214</v>
      </c>
      <c r="AT5" s="10"/>
      <c r="AU5" s="10"/>
      <c r="AV5" s="10"/>
      <c r="AW5" s="10">
        <v>147</v>
      </c>
      <c r="AX5" s="10"/>
      <c r="AY5" s="10"/>
      <c r="AZ5" s="10"/>
      <c r="BA5" s="10"/>
      <c r="BB5" s="10"/>
      <c r="BC5" s="10">
        <v>41945</v>
      </c>
      <c r="BD5" s="10">
        <v>2976</v>
      </c>
      <c r="BE5" s="10">
        <v>257</v>
      </c>
      <c r="BF5" s="10">
        <v>176</v>
      </c>
      <c r="BG5" s="10">
        <v>40.85</v>
      </c>
      <c r="BH5" s="10">
        <v>54.12</v>
      </c>
      <c r="BI5" s="10">
        <v>6</v>
      </c>
      <c r="BJ5" s="10">
        <v>0</v>
      </c>
      <c r="BK5" s="10"/>
      <c r="BL5" s="10"/>
      <c r="BM5" s="10"/>
      <c r="BN5" s="10"/>
      <c r="BO5" s="10"/>
      <c r="BP5" s="10">
        <v>42094</v>
      </c>
      <c r="BQ5" s="10">
        <v>4753</v>
      </c>
      <c r="BR5" s="10">
        <v>320</v>
      </c>
      <c r="BS5" s="10">
        <v>171</v>
      </c>
      <c r="BT5" s="10"/>
      <c r="BU5" s="10"/>
      <c r="BV5" s="10"/>
      <c r="BW5" s="10"/>
      <c r="BX5" s="10"/>
      <c r="BY5" s="10"/>
      <c r="BZ5" s="10"/>
      <c r="CA5" s="10"/>
      <c r="CB5" s="10"/>
      <c r="CC5" s="10">
        <v>39315</v>
      </c>
      <c r="CD5" s="10">
        <v>8044</v>
      </c>
      <c r="CE5" s="10">
        <v>192</v>
      </c>
      <c r="CF5" s="10">
        <v>3036</v>
      </c>
      <c r="CG5" s="10"/>
      <c r="CH5" s="10"/>
      <c r="CI5" s="10"/>
      <c r="CJ5" s="10"/>
      <c r="CK5" s="10"/>
      <c r="CL5" s="10"/>
      <c r="CM5" s="10"/>
      <c r="CN5" s="10"/>
      <c r="CO5" s="10"/>
      <c r="CP5" s="10">
        <v>39451</v>
      </c>
      <c r="CQ5" s="10">
        <v>4052</v>
      </c>
      <c r="CR5" s="10">
        <v>172</v>
      </c>
      <c r="CS5" s="10">
        <v>132</v>
      </c>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56">
        <v>40500</v>
      </c>
      <c r="FD5" s="56">
        <v>35000</v>
      </c>
      <c r="FE5" s="56">
        <v>2500</v>
      </c>
      <c r="FF5" s="56">
        <v>2000</v>
      </c>
      <c r="FG5" s="56">
        <v>50</v>
      </c>
      <c r="FH5" s="56">
        <v>60</v>
      </c>
      <c r="FI5" s="56">
        <v>6</v>
      </c>
      <c r="FJ5" s="56">
        <v>350</v>
      </c>
      <c r="FK5" s="56"/>
      <c r="FL5" s="56"/>
      <c r="FM5" s="56"/>
      <c r="FN5" s="56"/>
      <c r="FO5" s="56"/>
    </row>
    <row r="6" spans="1:171" x14ac:dyDescent="0.25">
      <c r="A6" s="29">
        <v>5</v>
      </c>
      <c r="B6" s="27" t="s">
        <v>428</v>
      </c>
      <c r="C6" s="10">
        <v>1872</v>
      </c>
      <c r="D6" s="10">
        <v>3.13</v>
      </c>
      <c r="E6" s="10">
        <v>311</v>
      </c>
      <c r="F6" s="10">
        <v>0.52</v>
      </c>
      <c r="G6" s="16">
        <v>1.35</v>
      </c>
      <c r="H6" s="16"/>
      <c r="I6" s="16"/>
      <c r="J6" s="16"/>
      <c r="K6" s="16"/>
      <c r="L6" s="10"/>
      <c r="M6" s="10"/>
      <c r="N6" s="10"/>
      <c r="O6" s="10"/>
      <c r="P6" s="10">
        <v>2169</v>
      </c>
      <c r="Q6" s="10">
        <v>3.31</v>
      </c>
      <c r="R6" s="10">
        <v>363</v>
      </c>
      <c r="S6" s="10">
        <v>0.55000000000000004</v>
      </c>
      <c r="T6" s="16">
        <v>0.2</v>
      </c>
      <c r="U6" s="10"/>
      <c r="V6" s="10"/>
      <c r="W6" s="10"/>
      <c r="X6" s="10"/>
      <c r="Y6" s="10"/>
      <c r="Z6" s="10"/>
      <c r="AA6" s="10"/>
      <c r="AB6" s="10"/>
      <c r="AC6" s="10">
        <v>1445</v>
      </c>
      <c r="AD6" s="10">
        <v>2.81</v>
      </c>
      <c r="AE6" s="10">
        <v>234</v>
      </c>
      <c r="AF6" s="10">
        <v>0.46</v>
      </c>
      <c r="AG6" s="10">
        <v>3.1</v>
      </c>
      <c r="AH6" s="10"/>
      <c r="AI6" s="10"/>
      <c r="AJ6" s="10"/>
      <c r="AK6" s="10"/>
      <c r="AL6" s="10"/>
      <c r="AM6" s="10"/>
      <c r="AN6" s="10"/>
      <c r="AO6" s="10"/>
      <c r="AP6" s="10">
        <v>1764</v>
      </c>
      <c r="AQ6" s="10">
        <v>2.69</v>
      </c>
      <c r="AR6" s="10">
        <v>375</v>
      </c>
      <c r="AS6" s="10">
        <v>0.56999999999999995</v>
      </c>
      <c r="AT6" s="10">
        <v>2</v>
      </c>
      <c r="AU6" s="10"/>
      <c r="AV6" s="10"/>
      <c r="AW6" s="10"/>
      <c r="AX6" s="10"/>
      <c r="AY6" s="10"/>
      <c r="AZ6" s="10"/>
      <c r="BA6" s="10"/>
      <c r="BB6" s="10"/>
      <c r="BC6" s="10">
        <v>1503</v>
      </c>
      <c r="BD6" s="10">
        <v>2.8</v>
      </c>
      <c r="BE6" s="10">
        <v>306</v>
      </c>
      <c r="BF6" s="10">
        <v>0.56999999999999995</v>
      </c>
      <c r="BG6" s="10">
        <v>0.15</v>
      </c>
      <c r="BH6" s="10"/>
      <c r="BI6" s="10"/>
      <c r="BJ6" s="10"/>
      <c r="BK6" s="10"/>
      <c r="BL6" s="10"/>
      <c r="BM6" s="10"/>
      <c r="BN6" s="10"/>
      <c r="BO6" s="10"/>
      <c r="BP6" s="10">
        <v>1315</v>
      </c>
      <c r="BQ6" s="10">
        <v>2.66</v>
      </c>
      <c r="BR6" s="10">
        <v>287</v>
      </c>
      <c r="BS6" s="10">
        <v>0.57999999999999996</v>
      </c>
      <c r="BT6" s="10">
        <v>0.3</v>
      </c>
      <c r="BU6" s="10"/>
      <c r="BV6" s="10"/>
      <c r="BW6" s="10"/>
      <c r="BX6" s="10"/>
      <c r="BY6" s="10"/>
      <c r="BZ6" s="10"/>
      <c r="CA6" s="10"/>
      <c r="CB6" s="10"/>
      <c r="CC6" s="10">
        <v>1760</v>
      </c>
      <c r="CD6" s="10">
        <v>2.94</v>
      </c>
      <c r="CE6" s="10">
        <v>365</v>
      </c>
      <c r="CF6" s="10">
        <v>0.61</v>
      </c>
      <c r="CG6" s="10">
        <v>1.1000000000000001</v>
      </c>
      <c r="CH6" s="10"/>
      <c r="CI6" s="10"/>
      <c r="CJ6" s="10"/>
      <c r="CK6" s="10"/>
      <c r="CL6" s="10"/>
      <c r="CM6" s="10"/>
      <c r="CN6" s="10"/>
      <c r="CO6" s="10"/>
      <c r="CP6" s="10">
        <v>1652</v>
      </c>
      <c r="CQ6" s="10">
        <v>3.17</v>
      </c>
      <c r="CR6" s="10">
        <v>327</v>
      </c>
      <c r="CS6" s="10">
        <v>0.63</v>
      </c>
      <c r="CT6" s="10">
        <v>0.3</v>
      </c>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56">
        <v>20000</v>
      </c>
      <c r="FD6" s="56">
        <v>4</v>
      </c>
      <c r="FE6" s="56">
        <v>3900</v>
      </c>
      <c r="FF6" s="56">
        <v>0.7</v>
      </c>
      <c r="FG6" s="56">
        <v>25</v>
      </c>
      <c r="FH6" s="56"/>
      <c r="FI6" s="56"/>
      <c r="FJ6" s="56"/>
      <c r="FK6" s="56"/>
      <c r="FL6" s="56"/>
      <c r="FM6" s="56"/>
      <c r="FN6" s="56"/>
      <c r="FO6" s="56"/>
    </row>
    <row r="7" spans="1:171" x14ac:dyDescent="0.25">
      <c r="A7" s="29">
        <v>6</v>
      </c>
      <c r="B7" s="27" t="s">
        <v>485</v>
      </c>
      <c r="C7" s="10">
        <v>1</v>
      </c>
      <c r="D7" s="10">
        <v>14</v>
      </c>
      <c r="E7" s="10">
        <v>3</v>
      </c>
      <c r="F7" s="10">
        <v>1</v>
      </c>
      <c r="G7" s="16">
        <v>6</v>
      </c>
      <c r="H7" s="16">
        <v>1</v>
      </c>
      <c r="I7" s="16">
        <v>0</v>
      </c>
      <c r="J7" s="16">
        <v>0</v>
      </c>
      <c r="K7" s="16">
        <v>0</v>
      </c>
      <c r="L7" s="10"/>
      <c r="M7" s="10"/>
      <c r="N7" s="10"/>
      <c r="O7" s="10"/>
      <c r="P7" s="10">
        <v>3</v>
      </c>
      <c r="Q7" s="10">
        <v>16</v>
      </c>
      <c r="R7" s="10">
        <v>4</v>
      </c>
      <c r="S7" s="10">
        <v>2</v>
      </c>
      <c r="T7" s="16">
        <v>7</v>
      </c>
      <c r="U7" s="10">
        <v>2</v>
      </c>
      <c r="V7" s="10">
        <v>0</v>
      </c>
      <c r="W7" s="10">
        <v>0</v>
      </c>
      <c r="X7" s="10">
        <v>0</v>
      </c>
      <c r="Y7" s="10"/>
      <c r="Z7" s="10"/>
      <c r="AA7" s="10"/>
      <c r="AB7" s="10"/>
      <c r="AC7" s="10">
        <v>2</v>
      </c>
      <c r="AD7" s="10">
        <v>16</v>
      </c>
      <c r="AE7" s="10">
        <v>5</v>
      </c>
      <c r="AF7" s="10">
        <v>2</v>
      </c>
      <c r="AG7" s="10">
        <v>6</v>
      </c>
      <c r="AH7" s="10">
        <v>2</v>
      </c>
      <c r="AI7" s="10">
        <v>1</v>
      </c>
      <c r="AJ7" s="10">
        <v>6</v>
      </c>
      <c r="AK7" s="10">
        <v>1.3</v>
      </c>
      <c r="AL7" s="10"/>
      <c r="AM7" s="10"/>
      <c r="AN7" s="10"/>
      <c r="AO7" s="10"/>
      <c r="AP7" s="10">
        <v>1</v>
      </c>
      <c r="AQ7" s="10">
        <v>15</v>
      </c>
      <c r="AR7" s="10">
        <v>8</v>
      </c>
      <c r="AS7" s="10">
        <v>1</v>
      </c>
      <c r="AT7" s="10">
        <v>4</v>
      </c>
      <c r="AU7" s="10">
        <v>4</v>
      </c>
      <c r="AV7" s="10">
        <v>1</v>
      </c>
      <c r="AW7" s="10">
        <v>44</v>
      </c>
      <c r="AX7" s="10">
        <v>4.2</v>
      </c>
      <c r="AY7" s="10"/>
      <c r="AZ7" s="10"/>
      <c r="BA7" s="10"/>
      <c r="BB7" s="10"/>
      <c r="BC7" s="10">
        <v>2</v>
      </c>
      <c r="BD7" s="10">
        <v>17</v>
      </c>
      <c r="BE7" s="10">
        <v>4</v>
      </c>
      <c r="BF7" s="10">
        <v>2</v>
      </c>
      <c r="BG7" s="10">
        <v>6</v>
      </c>
      <c r="BH7" s="10">
        <v>0</v>
      </c>
      <c r="BI7" s="10">
        <v>0</v>
      </c>
      <c r="BJ7" s="10">
        <v>0</v>
      </c>
      <c r="BK7" s="10"/>
      <c r="BL7" s="10"/>
      <c r="BM7" s="10"/>
      <c r="BN7" s="10"/>
      <c r="BO7" s="10"/>
      <c r="BP7" s="10">
        <v>1</v>
      </c>
      <c r="BQ7" s="10">
        <v>10</v>
      </c>
      <c r="BR7" s="10">
        <v>1</v>
      </c>
      <c r="BS7" s="10">
        <v>2</v>
      </c>
      <c r="BT7" s="10">
        <v>6</v>
      </c>
      <c r="BU7" s="10">
        <v>0</v>
      </c>
      <c r="BV7" s="10">
        <v>1</v>
      </c>
      <c r="BW7" s="10">
        <v>12</v>
      </c>
      <c r="BX7" s="10">
        <v>0.65</v>
      </c>
      <c r="BY7" s="10"/>
      <c r="BZ7" s="10"/>
      <c r="CA7" s="10"/>
      <c r="CB7" s="10"/>
      <c r="CC7" s="10">
        <v>1</v>
      </c>
      <c r="CD7" s="10">
        <v>9</v>
      </c>
      <c r="CE7" s="10">
        <v>2</v>
      </c>
      <c r="CF7" s="10">
        <v>2</v>
      </c>
      <c r="CG7" s="10">
        <v>4</v>
      </c>
      <c r="CH7" s="10">
        <v>2</v>
      </c>
      <c r="CI7" s="10">
        <v>0</v>
      </c>
      <c r="CJ7" s="10">
        <v>0</v>
      </c>
      <c r="CK7" s="10">
        <v>0</v>
      </c>
      <c r="CL7" s="10"/>
      <c r="CM7" s="10"/>
      <c r="CN7" s="10"/>
      <c r="CO7" s="10"/>
      <c r="CP7" s="10">
        <v>1</v>
      </c>
      <c r="CQ7" s="10">
        <v>10</v>
      </c>
      <c r="CR7" s="10">
        <v>8</v>
      </c>
      <c r="CS7" s="10">
        <v>0</v>
      </c>
      <c r="CT7" s="10">
        <v>5</v>
      </c>
      <c r="CU7" s="10">
        <v>2</v>
      </c>
      <c r="CV7" s="10">
        <v>0</v>
      </c>
      <c r="CW7" s="10">
        <v>0</v>
      </c>
      <c r="CX7" s="10">
        <v>0</v>
      </c>
      <c r="CY7" s="10"/>
      <c r="CZ7" s="10"/>
      <c r="DA7" s="10"/>
      <c r="DB7" s="10"/>
      <c r="DC7" s="10"/>
      <c r="DD7" s="10"/>
      <c r="DE7" s="10"/>
      <c r="DF7" s="10"/>
      <c r="DG7" s="10"/>
      <c r="DH7" s="10"/>
      <c r="DI7" s="10">
        <v>1</v>
      </c>
      <c r="DJ7" s="10">
        <v>18</v>
      </c>
      <c r="DK7" s="10">
        <v>1</v>
      </c>
      <c r="DL7" s="10"/>
      <c r="DM7" s="10"/>
      <c r="DN7" s="10"/>
      <c r="DO7" s="10"/>
      <c r="DP7" s="10"/>
      <c r="DQ7" s="33"/>
      <c r="DR7" s="33"/>
      <c r="DS7" s="10"/>
      <c r="DT7" s="10"/>
      <c r="DU7" s="10"/>
      <c r="DV7" s="10"/>
      <c r="DW7" s="10"/>
      <c r="DX7" s="10"/>
      <c r="DY7" s="10"/>
      <c r="DZ7" s="10"/>
      <c r="EA7" s="10"/>
      <c r="EB7" s="10"/>
      <c r="EC7" s="33"/>
      <c r="ED7" s="33"/>
      <c r="EE7" s="33"/>
      <c r="EF7" s="33"/>
      <c r="EG7" s="33"/>
      <c r="EH7" s="33"/>
      <c r="EI7" s="33"/>
      <c r="EJ7" s="33"/>
      <c r="EK7" s="33"/>
      <c r="EL7" s="33"/>
      <c r="EM7" s="33"/>
      <c r="EN7" s="10"/>
      <c r="EO7" s="10"/>
      <c r="EP7" s="10"/>
      <c r="EQ7" s="10"/>
      <c r="ER7" s="10"/>
      <c r="ES7" s="10"/>
      <c r="ET7" s="10"/>
      <c r="EU7" s="10"/>
      <c r="EV7" s="10"/>
      <c r="EW7" s="10"/>
      <c r="EX7" s="10"/>
      <c r="EY7" s="10"/>
      <c r="EZ7" s="10"/>
      <c r="FA7" s="10"/>
      <c r="FB7" s="10"/>
      <c r="FC7" s="56">
        <v>25</v>
      </c>
      <c r="FD7" s="56">
        <v>20</v>
      </c>
      <c r="FE7" s="56">
        <v>40</v>
      </c>
      <c r="FF7" s="56">
        <v>25</v>
      </c>
      <c r="FG7" s="56">
        <v>50</v>
      </c>
      <c r="FH7" s="56">
        <v>60</v>
      </c>
      <c r="FI7" s="56">
        <v>10</v>
      </c>
      <c r="FJ7" s="56">
        <v>200</v>
      </c>
      <c r="FK7" s="56">
        <v>10</v>
      </c>
      <c r="FL7" s="56"/>
      <c r="FM7" s="56"/>
      <c r="FN7" s="56"/>
      <c r="FO7" s="56"/>
    </row>
    <row r="8" spans="1:171" x14ac:dyDescent="0.25">
      <c r="A8" s="29">
        <v>7</v>
      </c>
      <c r="B8" s="27" t="s">
        <v>234</v>
      </c>
      <c r="C8" s="10">
        <v>71</v>
      </c>
      <c r="D8" s="10">
        <v>4</v>
      </c>
      <c r="E8" s="10">
        <v>3</v>
      </c>
      <c r="F8" s="10">
        <v>2</v>
      </c>
      <c r="G8" s="16">
        <v>1</v>
      </c>
      <c r="H8" s="16">
        <v>0</v>
      </c>
      <c r="I8" s="16">
        <v>11</v>
      </c>
      <c r="J8" s="16"/>
      <c r="K8" s="16"/>
      <c r="L8" s="10"/>
      <c r="M8" s="10"/>
      <c r="N8" s="10"/>
      <c r="O8" s="10"/>
      <c r="P8" s="10">
        <v>88</v>
      </c>
      <c r="Q8" s="10">
        <v>8</v>
      </c>
      <c r="R8" s="10">
        <v>5</v>
      </c>
      <c r="S8" s="10">
        <v>1</v>
      </c>
      <c r="T8" s="16">
        <v>3</v>
      </c>
      <c r="U8" s="10">
        <v>0</v>
      </c>
      <c r="V8" s="10">
        <v>0</v>
      </c>
      <c r="W8" s="10"/>
      <c r="X8" s="10"/>
      <c r="Y8" s="10"/>
      <c r="Z8" s="10"/>
      <c r="AA8" s="10"/>
      <c r="AB8" s="10"/>
      <c r="AC8" s="10">
        <v>51</v>
      </c>
      <c r="AD8" s="10">
        <v>4</v>
      </c>
      <c r="AE8" s="10">
        <v>3</v>
      </c>
      <c r="AF8" s="10">
        <v>0</v>
      </c>
      <c r="AG8" s="10">
        <v>4</v>
      </c>
      <c r="AH8" s="10">
        <v>0</v>
      </c>
      <c r="AI8" s="10">
        <v>0</v>
      </c>
      <c r="AJ8" s="10">
        <v>0</v>
      </c>
      <c r="AK8" s="10"/>
      <c r="AL8" s="10"/>
      <c r="AM8" s="10"/>
      <c r="AN8" s="10"/>
      <c r="AO8" s="10"/>
      <c r="AP8" s="10">
        <v>67</v>
      </c>
      <c r="AQ8" s="10">
        <v>10</v>
      </c>
      <c r="AR8" s="10">
        <v>6</v>
      </c>
      <c r="AS8" s="10">
        <v>3</v>
      </c>
      <c r="AT8" s="10">
        <v>1</v>
      </c>
      <c r="AU8" s="10">
        <v>0</v>
      </c>
      <c r="AV8" s="10">
        <v>0</v>
      </c>
      <c r="AW8" s="10"/>
      <c r="AX8" s="10"/>
      <c r="AY8" s="10"/>
      <c r="AZ8" s="10"/>
      <c r="BA8" s="10"/>
      <c r="BB8" s="10"/>
      <c r="BC8" s="10">
        <v>26</v>
      </c>
      <c r="BD8" s="10">
        <v>10</v>
      </c>
      <c r="BE8" s="10">
        <v>7</v>
      </c>
      <c r="BF8" s="10">
        <v>0</v>
      </c>
      <c r="BG8" s="10">
        <v>1</v>
      </c>
      <c r="BH8" s="10">
        <v>0</v>
      </c>
      <c r="BI8" s="10">
        <v>0</v>
      </c>
      <c r="BJ8" s="10"/>
      <c r="BK8" s="10"/>
      <c r="BL8" s="10"/>
      <c r="BM8" s="10"/>
      <c r="BN8" s="10"/>
      <c r="BO8" s="10"/>
      <c r="BP8" s="10">
        <v>26</v>
      </c>
      <c r="BQ8" s="10">
        <v>5</v>
      </c>
      <c r="BR8" s="10">
        <v>6</v>
      </c>
      <c r="BS8" s="10">
        <v>0</v>
      </c>
      <c r="BT8" s="10">
        <v>1</v>
      </c>
      <c r="BU8" s="10">
        <v>0</v>
      </c>
      <c r="BV8" s="10">
        <v>0</v>
      </c>
      <c r="BW8" s="10"/>
      <c r="BX8" s="10"/>
      <c r="BY8" s="10"/>
      <c r="BZ8" s="10"/>
      <c r="CA8" s="10"/>
      <c r="CB8" s="10"/>
      <c r="CC8" s="10">
        <v>35</v>
      </c>
      <c r="CD8" s="10">
        <v>7</v>
      </c>
      <c r="CE8" s="10">
        <v>8</v>
      </c>
      <c r="CF8" s="10">
        <v>1</v>
      </c>
      <c r="CG8" s="10">
        <v>1</v>
      </c>
      <c r="CH8" s="10">
        <v>0</v>
      </c>
      <c r="CI8" s="10">
        <v>0</v>
      </c>
      <c r="CJ8" s="10"/>
      <c r="CK8" s="10"/>
      <c r="CL8" s="10"/>
      <c r="CM8" s="10"/>
      <c r="CN8" s="10"/>
      <c r="CO8" s="10"/>
      <c r="CP8" s="10">
        <v>20</v>
      </c>
      <c r="CQ8" s="10">
        <v>8</v>
      </c>
      <c r="CR8" s="10">
        <v>7</v>
      </c>
      <c r="CS8" s="10">
        <v>4</v>
      </c>
      <c r="CT8" s="10">
        <v>1</v>
      </c>
      <c r="CU8" s="10">
        <v>0</v>
      </c>
      <c r="CV8" s="10">
        <v>0</v>
      </c>
      <c r="CW8" s="10"/>
      <c r="CX8" s="10"/>
      <c r="CY8" s="10"/>
      <c r="CZ8" s="10"/>
      <c r="DA8" s="10"/>
      <c r="DB8" s="10"/>
      <c r="DC8" s="10"/>
      <c r="DD8" s="10"/>
      <c r="DE8" s="10"/>
      <c r="DF8" s="10"/>
      <c r="DG8" s="10"/>
      <c r="DH8" s="10"/>
      <c r="DI8" s="10"/>
      <c r="DJ8" s="10"/>
      <c r="DK8" s="10"/>
      <c r="DL8" s="10"/>
      <c r="DM8" s="10"/>
      <c r="DN8" s="10"/>
      <c r="DO8" s="10"/>
      <c r="DP8" s="10"/>
      <c r="DQ8" s="33"/>
      <c r="DR8" s="33"/>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56">
        <v>450</v>
      </c>
      <c r="FD8" s="56">
        <v>85</v>
      </c>
      <c r="FE8" s="56">
        <v>80</v>
      </c>
      <c r="FF8" s="56">
        <v>20</v>
      </c>
      <c r="FG8" s="56">
        <v>15</v>
      </c>
      <c r="FH8" s="56">
        <v>3</v>
      </c>
      <c r="FI8" s="56">
        <v>75</v>
      </c>
      <c r="FJ8" s="56"/>
      <c r="FK8" s="56"/>
      <c r="FL8" s="56"/>
      <c r="FM8" s="56"/>
      <c r="FN8" s="56"/>
      <c r="FO8" s="56"/>
    </row>
    <row r="9" spans="1:171" x14ac:dyDescent="0.25">
      <c r="A9" s="29">
        <v>8</v>
      </c>
      <c r="B9" s="27" t="s">
        <v>25</v>
      </c>
      <c r="C9" s="10">
        <v>909</v>
      </c>
      <c r="D9" s="10">
        <v>58.8</v>
      </c>
      <c r="E9" s="10">
        <v>1.84</v>
      </c>
      <c r="F9" s="10">
        <v>10.050000000000001</v>
      </c>
      <c r="G9" s="16">
        <v>368</v>
      </c>
      <c r="H9" s="16">
        <v>30</v>
      </c>
      <c r="I9" s="16"/>
      <c r="J9" s="16">
        <v>37</v>
      </c>
      <c r="K9" s="16">
        <v>33</v>
      </c>
      <c r="L9" s="10">
        <v>24</v>
      </c>
      <c r="M9" s="10">
        <v>30</v>
      </c>
      <c r="N9" s="10">
        <v>25</v>
      </c>
      <c r="O9" s="10">
        <v>30</v>
      </c>
      <c r="P9" s="10">
        <v>895</v>
      </c>
      <c r="Q9" s="10">
        <v>63.4</v>
      </c>
      <c r="R9" s="10">
        <v>1.8</v>
      </c>
      <c r="S9" s="10">
        <v>8.27</v>
      </c>
      <c r="T9" s="16">
        <v>416</v>
      </c>
      <c r="U9" s="10">
        <v>30</v>
      </c>
      <c r="V9" s="10"/>
      <c r="W9" s="10">
        <v>34</v>
      </c>
      <c r="X9" s="10">
        <v>31</v>
      </c>
      <c r="Y9" s="10">
        <v>26</v>
      </c>
      <c r="Z9" s="10">
        <v>31</v>
      </c>
      <c r="AA9" s="10">
        <v>27</v>
      </c>
      <c r="AB9" s="10">
        <v>30</v>
      </c>
      <c r="AC9" s="10">
        <v>879</v>
      </c>
      <c r="AD9" s="10">
        <v>63.2</v>
      </c>
      <c r="AE9" s="10">
        <v>1.79</v>
      </c>
      <c r="AF9" s="10">
        <v>7.42</v>
      </c>
      <c r="AG9" s="10">
        <v>362</v>
      </c>
      <c r="AH9" s="10">
        <v>28</v>
      </c>
      <c r="AI9" s="10"/>
      <c r="AJ9" s="10">
        <v>31</v>
      </c>
      <c r="AK9" s="10">
        <v>31</v>
      </c>
      <c r="AL9" s="10">
        <v>27</v>
      </c>
      <c r="AM9" s="10">
        <v>26</v>
      </c>
      <c r="AN9" s="10">
        <v>20</v>
      </c>
      <c r="AO9" s="10">
        <v>34</v>
      </c>
      <c r="AP9" s="10">
        <v>938</v>
      </c>
      <c r="AQ9" s="10">
        <v>58.8</v>
      </c>
      <c r="AR9" s="10">
        <v>1.9</v>
      </c>
      <c r="AS9" s="10">
        <v>8.26</v>
      </c>
      <c r="AT9" s="10">
        <v>385</v>
      </c>
      <c r="AU9" s="10">
        <v>30</v>
      </c>
      <c r="AV9" s="10"/>
      <c r="AW9" s="10">
        <v>37</v>
      </c>
      <c r="AX9" s="10">
        <v>36</v>
      </c>
      <c r="AY9" s="10">
        <v>27</v>
      </c>
      <c r="AZ9" s="10">
        <v>27</v>
      </c>
      <c r="BA9" s="10">
        <v>22</v>
      </c>
      <c r="BB9" s="10">
        <v>29</v>
      </c>
      <c r="BC9" s="10">
        <v>810</v>
      </c>
      <c r="BD9" s="10">
        <v>57.7</v>
      </c>
      <c r="BE9" s="10">
        <v>1.81</v>
      </c>
      <c r="BF9" s="10">
        <v>8.49</v>
      </c>
      <c r="BG9" s="10">
        <v>335</v>
      </c>
      <c r="BH9" s="10">
        <v>27</v>
      </c>
      <c r="BI9" s="10"/>
      <c r="BJ9" s="10">
        <v>32</v>
      </c>
      <c r="BK9" s="10">
        <v>30</v>
      </c>
      <c r="BL9" s="10">
        <v>21</v>
      </c>
      <c r="BM9" s="10">
        <v>28</v>
      </c>
      <c r="BN9" s="10">
        <v>24</v>
      </c>
      <c r="BO9" s="10">
        <v>26</v>
      </c>
      <c r="BP9" s="10">
        <v>881</v>
      </c>
      <c r="BQ9" s="10">
        <v>60.8</v>
      </c>
      <c r="BR9" s="10">
        <v>1.58</v>
      </c>
      <c r="BS9" s="10">
        <v>8.5399999999999991</v>
      </c>
      <c r="BT9" s="10">
        <v>399</v>
      </c>
      <c r="BU9" s="10">
        <v>29</v>
      </c>
      <c r="BV9" s="10"/>
      <c r="BW9" s="10">
        <v>32</v>
      </c>
      <c r="BX9" s="10">
        <v>26</v>
      </c>
      <c r="BY9" s="10">
        <v>27</v>
      </c>
      <c r="BZ9" s="10">
        <v>29</v>
      </c>
      <c r="CA9" s="10">
        <v>28</v>
      </c>
      <c r="CB9" s="10">
        <v>29</v>
      </c>
      <c r="CC9" s="10">
        <v>810</v>
      </c>
      <c r="CD9" s="10">
        <v>60.8</v>
      </c>
      <c r="CE9" s="10">
        <v>1.7</v>
      </c>
      <c r="CF9" s="10">
        <v>8.24</v>
      </c>
      <c r="CG9" s="10">
        <v>367</v>
      </c>
      <c r="CH9" s="10">
        <v>27</v>
      </c>
      <c r="CI9" s="10"/>
      <c r="CJ9" s="10">
        <v>31</v>
      </c>
      <c r="CK9" s="10">
        <v>27</v>
      </c>
      <c r="CL9" s="10">
        <v>21</v>
      </c>
      <c r="CM9" s="10">
        <v>27</v>
      </c>
      <c r="CN9" s="10">
        <v>24</v>
      </c>
      <c r="CO9" s="10">
        <v>32</v>
      </c>
      <c r="CP9" s="10">
        <v>898</v>
      </c>
      <c r="CQ9" s="10">
        <v>62.3</v>
      </c>
      <c r="CR9" s="10">
        <v>1.7</v>
      </c>
      <c r="CS9" s="10">
        <v>9.98</v>
      </c>
      <c r="CT9" s="10">
        <v>463</v>
      </c>
      <c r="CU9" s="10">
        <v>34</v>
      </c>
      <c r="CV9" s="10"/>
      <c r="CW9" s="10">
        <v>41</v>
      </c>
      <c r="CX9" s="10">
        <v>33</v>
      </c>
      <c r="CY9" s="10">
        <v>29</v>
      </c>
      <c r="CZ9" s="10">
        <v>35</v>
      </c>
      <c r="DA9" s="10">
        <v>31</v>
      </c>
      <c r="DB9" s="10">
        <v>38</v>
      </c>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56">
        <v>9100</v>
      </c>
      <c r="FD9" s="56">
        <v>58</v>
      </c>
      <c r="FE9" s="56">
        <v>1.9</v>
      </c>
      <c r="FF9" s="56">
        <v>8</v>
      </c>
      <c r="FG9" s="56">
        <v>3000</v>
      </c>
      <c r="FH9" s="56">
        <v>25</v>
      </c>
      <c r="FI9" s="56">
        <v>0</v>
      </c>
      <c r="FJ9" s="56">
        <v>25</v>
      </c>
      <c r="FK9" s="56">
        <v>25</v>
      </c>
      <c r="FL9" s="56">
        <v>25</v>
      </c>
      <c r="FM9" s="56">
        <v>25</v>
      </c>
      <c r="FN9" s="56">
        <v>25</v>
      </c>
      <c r="FO9" s="56">
        <v>25</v>
      </c>
    </row>
    <row r="10" spans="1:171" x14ac:dyDescent="0.25">
      <c r="A10" s="29">
        <v>9</v>
      </c>
      <c r="B10" s="27" t="s">
        <v>69</v>
      </c>
      <c r="C10" s="10">
        <v>1</v>
      </c>
      <c r="D10" s="10">
        <v>23</v>
      </c>
      <c r="E10" s="10">
        <v>13</v>
      </c>
      <c r="F10" s="10">
        <v>32</v>
      </c>
      <c r="G10" s="16">
        <v>63</v>
      </c>
      <c r="H10" s="16">
        <v>100</v>
      </c>
      <c r="I10" s="16">
        <v>111</v>
      </c>
      <c r="J10" s="16">
        <v>100</v>
      </c>
      <c r="K10" s="16">
        <v>35</v>
      </c>
      <c r="L10" s="10">
        <v>42</v>
      </c>
      <c r="M10" s="10"/>
      <c r="N10" s="10"/>
      <c r="O10" s="10"/>
      <c r="P10" s="10">
        <v>8</v>
      </c>
      <c r="Q10" s="10">
        <v>63</v>
      </c>
      <c r="R10" s="10">
        <v>24</v>
      </c>
      <c r="S10" s="10">
        <v>37</v>
      </c>
      <c r="T10" s="16">
        <v>59</v>
      </c>
      <c r="U10" s="10">
        <v>80</v>
      </c>
      <c r="V10" s="10">
        <v>134</v>
      </c>
      <c r="W10" s="10">
        <v>100</v>
      </c>
      <c r="X10" s="10">
        <v>26</v>
      </c>
      <c r="Y10" s="10">
        <v>26</v>
      </c>
      <c r="Z10" s="10"/>
      <c r="AA10" s="10"/>
      <c r="AB10" s="10"/>
      <c r="AC10" s="10">
        <v>3</v>
      </c>
      <c r="AD10" s="10">
        <v>42</v>
      </c>
      <c r="AE10" s="10">
        <v>16</v>
      </c>
      <c r="AF10" s="10">
        <v>17</v>
      </c>
      <c r="AG10" s="10">
        <v>36</v>
      </c>
      <c r="AH10" s="10">
        <v>100</v>
      </c>
      <c r="AI10" s="10">
        <v>82</v>
      </c>
      <c r="AJ10" s="10">
        <v>60</v>
      </c>
      <c r="AK10" s="10">
        <v>20</v>
      </c>
      <c r="AL10" s="10">
        <v>19</v>
      </c>
      <c r="AM10" s="10"/>
      <c r="AN10" s="10"/>
      <c r="AO10" s="10"/>
      <c r="AP10" s="10">
        <v>6</v>
      </c>
      <c r="AQ10" s="10">
        <v>58</v>
      </c>
      <c r="AR10" s="10">
        <v>18</v>
      </c>
      <c r="AS10" s="10">
        <v>28</v>
      </c>
      <c r="AT10" s="10">
        <v>79</v>
      </c>
      <c r="AU10" s="10">
        <v>83</v>
      </c>
      <c r="AV10" s="10">
        <v>112</v>
      </c>
      <c r="AW10" s="10">
        <v>83</v>
      </c>
      <c r="AX10" s="10">
        <v>31</v>
      </c>
      <c r="AY10" s="10">
        <v>43</v>
      </c>
      <c r="AZ10" s="10"/>
      <c r="BA10" s="10"/>
      <c r="BB10" s="10"/>
      <c r="BC10" s="10">
        <v>2</v>
      </c>
      <c r="BD10" s="10">
        <v>53</v>
      </c>
      <c r="BE10" s="10">
        <v>11</v>
      </c>
      <c r="BF10" s="10">
        <v>24</v>
      </c>
      <c r="BG10" s="10">
        <v>58</v>
      </c>
      <c r="BH10" s="10">
        <v>100</v>
      </c>
      <c r="BI10" s="10">
        <v>74</v>
      </c>
      <c r="BJ10" s="10">
        <v>100</v>
      </c>
      <c r="BK10" s="10">
        <v>18</v>
      </c>
      <c r="BL10" s="10">
        <v>18</v>
      </c>
      <c r="BM10" s="10"/>
      <c r="BN10" s="10"/>
      <c r="BO10" s="10"/>
      <c r="BP10" s="10">
        <v>3</v>
      </c>
      <c r="BQ10" s="10">
        <v>67</v>
      </c>
      <c r="BR10" s="10">
        <v>7</v>
      </c>
      <c r="BS10" s="10">
        <v>18</v>
      </c>
      <c r="BT10" s="10">
        <v>71</v>
      </c>
      <c r="BU10" s="10">
        <v>100</v>
      </c>
      <c r="BV10" s="10">
        <v>60</v>
      </c>
      <c r="BW10" s="10">
        <v>100</v>
      </c>
      <c r="BX10" s="10">
        <v>2</v>
      </c>
      <c r="BY10" s="10">
        <v>5</v>
      </c>
      <c r="BZ10" s="10"/>
      <c r="CA10" s="10"/>
      <c r="CB10" s="10"/>
      <c r="CC10" s="10">
        <v>19</v>
      </c>
      <c r="CD10" s="10">
        <v>46</v>
      </c>
      <c r="CE10" s="10">
        <v>10</v>
      </c>
      <c r="CF10" s="10">
        <v>16</v>
      </c>
      <c r="CG10" s="10">
        <v>67</v>
      </c>
      <c r="CH10" s="10">
        <v>83</v>
      </c>
      <c r="CI10" s="10">
        <v>117</v>
      </c>
      <c r="CJ10" s="10">
        <v>100</v>
      </c>
      <c r="CK10" s="10">
        <v>19</v>
      </c>
      <c r="CL10" s="10">
        <v>13</v>
      </c>
      <c r="CM10" s="10"/>
      <c r="CN10" s="10"/>
      <c r="CO10" s="10"/>
      <c r="CP10" s="10">
        <v>0</v>
      </c>
      <c r="CQ10" s="10">
        <v>52</v>
      </c>
      <c r="CR10" s="10">
        <v>16</v>
      </c>
      <c r="CS10" s="10">
        <v>34</v>
      </c>
      <c r="CT10" s="10">
        <v>32</v>
      </c>
      <c r="CU10" s="10">
        <v>100</v>
      </c>
      <c r="CV10" s="10">
        <v>66</v>
      </c>
      <c r="CW10" s="10">
        <v>100</v>
      </c>
      <c r="CX10" s="10">
        <v>9</v>
      </c>
      <c r="CY10" s="10">
        <v>28</v>
      </c>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56">
        <v>50</v>
      </c>
      <c r="FD10" s="56">
        <v>725</v>
      </c>
      <c r="FE10" s="56">
        <v>250</v>
      </c>
      <c r="FF10" s="56">
        <v>360</v>
      </c>
      <c r="FG10" s="56">
        <v>80</v>
      </c>
      <c r="FH10" s="56">
        <v>90</v>
      </c>
      <c r="FI10" s="56">
        <v>1065</v>
      </c>
      <c r="FJ10" s="56">
        <v>95</v>
      </c>
      <c r="FK10" s="56">
        <v>290</v>
      </c>
      <c r="FL10" s="56">
        <v>275</v>
      </c>
      <c r="FM10" s="56"/>
      <c r="FN10" s="56"/>
      <c r="FO10" s="56"/>
    </row>
    <row r="11" spans="1:171" x14ac:dyDescent="0.25">
      <c r="A11" s="29">
        <v>10</v>
      </c>
      <c r="B11" s="27" t="s">
        <v>227</v>
      </c>
      <c r="C11" s="10">
        <v>157</v>
      </c>
      <c r="D11" s="10">
        <v>7.5</v>
      </c>
      <c r="E11" s="10">
        <v>238</v>
      </c>
      <c r="F11" s="10">
        <v>0</v>
      </c>
      <c r="G11" s="16"/>
      <c r="H11" s="16"/>
      <c r="I11" s="16"/>
      <c r="J11" s="16"/>
      <c r="K11" s="16"/>
      <c r="L11" s="10"/>
      <c r="M11" s="10"/>
      <c r="N11" s="10"/>
      <c r="O11" s="10"/>
      <c r="P11" s="10">
        <v>270</v>
      </c>
      <c r="Q11" s="10">
        <v>11.7</v>
      </c>
      <c r="R11" s="10">
        <v>126.5</v>
      </c>
      <c r="S11" s="10">
        <v>0</v>
      </c>
      <c r="T11" s="16"/>
      <c r="U11" s="10"/>
      <c r="V11" s="10"/>
      <c r="W11" s="10"/>
      <c r="X11" s="10"/>
      <c r="Y11" s="10"/>
      <c r="Z11" s="10"/>
      <c r="AA11" s="10"/>
      <c r="AB11" s="10"/>
      <c r="AC11" s="10">
        <v>215</v>
      </c>
      <c r="AD11" s="10">
        <v>11.3</v>
      </c>
      <c r="AE11" s="10">
        <v>216</v>
      </c>
      <c r="AF11" s="10">
        <v>0</v>
      </c>
      <c r="AG11" s="10"/>
      <c r="AH11" s="10"/>
      <c r="AI11" s="10"/>
      <c r="AJ11" s="10"/>
      <c r="AK11" s="10"/>
      <c r="AL11" s="10"/>
      <c r="AM11" s="10"/>
      <c r="AN11" s="10"/>
      <c r="AO11" s="10"/>
      <c r="AP11" s="10">
        <v>255</v>
      </c>
      <c r="AQ11" s="10">
        <v>11.1</v>
      </c>
      <c r="AR11" s="10">
        <v>202</v>
      </c>
      <c r="AS11" s="10">
        <v>12</v>
      </c>
      <c r="AT11" s="10"/>
      <c r="AU11" s="10"/>
      <c r="AV11" s="10"/>
      <c r="AW11" s="10"/>
      <c r="AX11" s="10"/>
      <c r="AY11" s="10"/>
      <c r="AZ11" s="10"/>
      <c r="BA11" s="10"/>
      <c r="BB11" s="10"/>
      <c r="BC11" s="10">
        <v>200</v>
      </c>
      <c r="BD11" s="10">
        <v>10.5</v>
      </c>
      <c r="BE11" s="10">
        <v>219</v>
      </c>
      <c r="BF11" s="10">
        <v>24</v>
      </c>
      <c r="BG11" s="10"/>
      <c r="BH11" s="10"/>
      <c r="BI11" s="10"/>
      <c r="BJ11" s="10"/>
      <c r="BK11" s="10"/>
      <c r="BL11" s="10"/>
      <c r="BM11" s="10"/>
      <c r="BN11" s="10"/>
      <c r="BO11" s="10"/>
      <c r="BP11" s="10">
        <v>188</v>
      </c>
      <c r="BQ11" s="10">
        <v>10.4</v>
      </c>
      <c r="BR11" s="10">
        <v>107</v>
      </c>
      <c r="BS11" s="10">
        <v>22</v>
      </c>
      <c r="BT11" s="10"/>
      <c r="BU11" s="10"/>
      <c r="BV11" s="10"/>
      <c r="BW11" s="10"/>
      <c r="BX11" s="10"/>
      <c r="BY11" s="10"/>
      <c r="BZ11" s="10"/>
      <c r="CA11" s="10"/>
      <c r="CB11" s="10"/>
      <c r="CC11" s="10">
        <v>243</v>
      </c>
      <c r="CD11" s="10">
        <v>11.6</v>
      </c>
      <c r="CE11" s="10">
        <v>74</v>
      </c>
      <c r="CF11" s="10">
        <v>77</v>
      </c>
      <c r="CG11" s="10"/>
      <c r="CH11" s="10"/>
      <c r="CI11" s="10"/>
      <c r="CJ11" s="10"/>
      <c r="CK11" s="10"/>
      <c r="CL11" s="10"/>
      <c r="CM11" s="10"/>
      <c r="CN11" s="10"/>
      <c r="CO11" s="10"/>
      <c r="CP11" s="10">
        <v>244</v>
      </c>
      <c r="CQ11" s="10">
        <v>12.2</v>
      </c>
      <c r="CR11" s="10">
        <v>194</v>
      </c>
      <c r="CS11" s="10">
        <v>15</v>
      </c>
      <c r="CT11" s="10"/>
      <c r="CU11" s="10"/>
      <c r="CV11" s="10"/>
      <c r="CW11" s="10"/>
      <c r="CX11" s="10"/>
      <c r="CY11" s="10"/>
      <c r="CZ11" s="10"/>
      <c r="DA11" s="10"/>
      <c r="DB11" s="10"/>
      <c r="DC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56">
        <v>2275</v>
      </c>
      <c r="FD11" s="56">
        <v>9</v>
      </c>
      <c r="FE11" s="56">
        <v>2000</v>
      </c>
      <c r="FF11" s="56">
        <v>200</v>
      </c>
      <c r="FG11" s="56"/>
      <c r="FH11" s="56"/>
      <c r="FI11" s="56"/>
      <c r="FJ11" s="56"/>
      <c r="FK11" s="56"/>
      <c r="FL11" s="56"/>
      <c r="FM11" s="56"/>
      <c r="FN11" s="56"/>
      <c r="FO11" s="56"/>
    </row>
    <row r="12" spans="1:171" x14ac:dyDescent="0.25">
      <c r="A12" s="25">
        <v>11</v>
      </c>
      <c r="B12" s="27" t="s">
        <v>6</v>
      </c>
      <c r="C12" s="10">
        <v>178</v>
      </c>
      <c r="D12" s="10">
        <v>250</v>
      </c>
      <c r="E12" s="10">
        <v>20</v>
      </c>
      <c r="F12" s="10">
        <v>0</v>
      </c>
      <c r="G12" s="16">
        <v>27</v>
      </c>
      <c r="H12" s="16">
        <v>0</v>
      </c>
      <c r="I12" s="16">
        <v>16</v>
      </c>
      <c r="J12" s="16">
        <v>48</v>
      </c>
      <c r="K12" s="16">
        <v>693</v>
      </c>
      <c r="L12" s="10">
        <v>33</v>
      </c>
      <c r="M12" s="10">
        <v>13</v>
      </c>
      <c r="N12" s="10">
        <v>18</v>
      </c>
      <c r="O12" s="10">
        <v>850</v>
      </c>
      <c r="P12" s="10">
        <v>179</v>
      </c>
      <c r="Q12" s="10">
        <v>511</v>
      </c>
      <c r="R12" s="10">
        <v>22</v>
      </c>
      <c r="S12" s="10">
        <v>0</v>
      </c>
      <c r="T12" s="16">
        <v>35</v>
      </c>
      <c r="U12" s="10">
        <v>0</v>
      </c>
      <c r="V12" s="10">
        <v>11</v>
      </c>
      <c r="W12" s="10">
        <v>56</v>
      </c>
      <c r="X12" s="10">
        <v>703</v>
      </c>
      <c r="Y12" s="10">
        <v>33.700000000000003</v>
      </c>
      <c r="Z12" s="10">
        <v>10</v>
      </c>
      <c r="AA12" s="10">
        <v>32</v>
      </c>
      <c r="AB12" s="10">
        <v>922</v>
      </c>
      <c r="AC12" s="10">
        <v>176</v>
      </c>
      <c r="AD12" s="10">
        <v>388</v>
      </c>
      <c r="AE12" s="10">
        <v>19</v>
      </c>
      <c r="AF12" s="10">
        <v>0</v>
      </c>
      <c r="AG12" s="10">
        <v>38</v>
      </c>
      <c r="AH12" s="10">
        <v>0</v>
      </c>
      <c r="AI12" s="10">
        <v>14</v>
      </c>
      <c r="AJ12" s="10">
        <v>44</v>
      </c>
      <c r="AK12" s="10">
        <v>519</v>
      </c>
      <c r="AL12" s="10">
        <v>37.4</v>
      </c>
      <c r="AM12" s="10">
        <v>11</v>
      </c>
      <c r="AN12" s="10">
        <v>14</v>
      </c>
      <c r="AO12" s="10">
        <v>785</v>
      </c>
      <c r="AP12" s="10">
        <v>258</v>
      </c>
      <c r="AQ12" s="10">
        <v>825</v>
      </c>
      <c r="AR12" s="10">
        <v>35</v>
      </c>
      <c r="AS12" s="10">
        <v>0</v>
      </c>
      <c r="AT12" s="10">
        <v>40</v>
      </c>
      <c r="AU12" s="10">
        <v>0</v>
      </c>
      <c r="AV12" s="10">
        <v>11</v>
      </c>
      <c r="AW12" s="10">
        <v>59</v>
      </c>
      <c r="AX12" s="10">
        <v>764</v>
      </c>
      <c r="AY12" s="10">
        <v>37.799999999999997</v>
      </c>
      <c r="AZ12" s="10">
        <v>10</v>
      </c>
      <c r="BA12" s="10">
        <v>12</v>
      </c>
      <c r="BB12" s="10">
        <v>893</v>
      </c>
      <c r="BC12" s="10">
        <v>229</v>
      </c>
      <c r="BD12" s="10">
        <v>534</v>
      </c>
      <c r="BE12" s="10">
        <v>28</v>
      </c>
      <c r="BF12" s="10">
        <v>0</v>
      </c>
      <c r="BG12" s="10">
        <v>24</v>
      </c>
      <c r="BH12" s="10">
        <v>0</v>
      </c>
      <c r="BI12" s="10">
        <v>15</v>
      </c>
      <c r="BJ12" s="10">
        <v>52</v>
      </c>
      <c r="BK12" s="10">
        <v>615</v>
      </c>
      <c r="BL12" s="10">
        <v>33</v>
      </c>
      <c r="BM12" s="10">
        <v>10</v>
      </c>
      <c r="BN12" s="10">
        <v>22</v>
      </c>
      <c r="BO12" s="10">
        <v>899</v>
      </c>
      <c r="BP12" s="10">
        <v>207</v>
      </c>
      <c r="BQ12" s="10">
        <v>232</v>
      </c>
      <c r="BR12" s="10">
        <v>24</v>
      </c>
      <c r="BS12" s="10">
        <v>0</v>
      </c>
      <c r="BT12" s="10">
        <v>26</v>
      </c>
      <c r="BU12" s="10">
        <v>0</v>
      </c>
      <c r="BV12" s="10">
        <v>16</v>
      </c>
      <c r="BW12" s="10">
        <v>36</v>
      </c>
      <c r="BX12" s="10">
        <v>576</v>
      </c>
      <c r="BY12" s="10">
        <v>29.9</v>
      </c>
      <c r="BZ12" s="10">
        <v>11</v>
      </c>
      <c r="CA12" s="10">
        <v>24</v>
      </c>
      <c r="CB12" s="10">
        <v>867</v>
      </c>
      <c r="CC12" s="10">
        <v>292</v>
      </c>
      <c r="CD12" s="10">
        <v>302</v>
      </c>
      <c r="CE12" s="10">
        <v>28</v>
      </c>
      <c r="CF12" s="10">
        <v>0</v>
      </c>
      <c r="CG12" s="10">
        <v>39</v>
      </c>
      <c r="CH12" s="10">
        <v>0</v>
      </c>
      <c r="CI12" s="10">
        <v>24</v>
      </c>
      <c r="CJ12" s="10">
        <v>83</v>
      </c>
      <c r="CK12" s="10">
        <v>779</v>
      </c>
      <c r="CL12" s="10">
        <v>37.799999999999997</v>
      </c>
      <c r="CM12" s="10">
        <v>12</v>
      </c>
      <c r="CN12" s="10">
        <v>23</v>
      </c>
      <c r="CO12" s="10">
        <v>1016</v>
      </c>
      <c r="CP12" s="10">
        <v>180</v>
      </c>
      <c r="CQ12" s="10">
        <v>276</v>
      </c>
      <c r="CR12" s="10">
        <v>23</v>
      </c>
      <c r="CS12" s="10">
        <v>0</v>
      </c>
      <c r="CT12" s="10">
        <v>24</v>
      </c>
      <c r="CU12" s="10">
        <v>0</v>
      </c>
      <c r="CV12" s="10">
        <v>17</v>
      </c>
      <c r="CW12" s="10">
        <v>44</v>
      </c>
      <c r="CX12" s="10">
        <v>597</v>
      </c>
      <c r="CY12" s="10">
        <v>33.299999999999997</v>
      </c>
      <c r="CZ12" s="10">
        <v>9</v>
      </c>
      <c r="DA12" s="10">
        <v>18</v>
      </c>
      <c r="DB12" s="10">
        <v>903</v>
      </c>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56">
        <v>2125</v>
      </c>
      <c r="FD12" s="56">
        <v>5200</v>
      </c>
      <c r="FE12" s="56">
        <v>22</v>
      </c>
      <c r="FF12" s="56">
        <v>1</v>
      </c>
      <c r="FG12" s="56">
        <v>340</v>
      </c>
      <c r="FH12" s="56">
        <v>1</v>
      </c>
      <c r="FI12" s="56">
        <v>200</v>
      </c>
      <c r="FJ12" s="56">
        <v>775</v>
      </c>
      <c r="FK12" s="56">
        <v>7900</v>
      </c>
      <c r="FL12" s="56">
        <v>30</v>
      </c>
      <c r="FM12" s="56">
        <v>110</v>
      </c>
      <c r="FN12" s="56">
        <v>295</v>
      </c>
      <c r="FO12" s="56">
        <v>7900</v>
      </c>
    </row>
    <row r="13" spans="1:171" x14ac:dyDescent="0.25">
      <c r="A13" s="25">
        <v>12</v>
      </c>
      <c r="B13" s="27" t="s">
        <v>434</v>
      </c>
      <c r="C13" s="10">
        <v>3</v>
      </c>
      <c r="D13" s="10">
        <v>8.1999999999999993</v>
      </c>
      <c r="E13" s="10">
        <v>3</v>
      </c>
      <c r="F13" s="10">
        <v>8.1999999999999993</v>
      </c>
      <c r="G13" s="16">
        <v>446</v>
      </c>
      <c r="H13" s="16">
        <v>2369</v>
      </c>
      <c r="I13" s="16">
        <v>796338</v>
      </c>
      <c r="J13" s="16"/>
      <c r="K13" s="16"/>
      <c r="L13" s="10"/>
      <c r="M13" s="10"/>
      <c r="N13" s="10"/>
      <c r="O13" s="10"/>
      <c r="P13" s="10">
        <v>5</v>
      </c>
      <c r="Q13" s="10">
        <v>10.9</v>
      </c>
      <c r="R13" s="10">
        <v>5</v>
      </c>
      <c r="S13" s="10">
        <v>10.9</v>
      </c>
      <c r="T13" s="16"/>
      <c r="U13" s="10"/>
      <c r="V13" s="10">
        <v>495151</v>
      </c>
      <c r="W13" s="10"/>
      <c r="X13" s="10"/>
      <c r="Y13" s="10"/>
      <c r="Z13" s="10"/>
      <c r="AA13" s="10"/>
      <c r="AB13" s="10"/>
      <c r="AC13" s="10">
        <v>4</v>
      </c>
      <c r="AD13" s="10">
        <v>10.9</v>
      </c>
      <c r="AE13" s="10">
        <v>3</v>
      </c>
      <c r="AF13" s="10">
        <v>10</v>
      </c>
      <c r="AG13" s="10"/>
      <c r="AH13" s="10"/>
      <c r="AI13" s="10">
        <v>389551</v>
      </c>
      <c r="AJ13" s="10"/>
      <c r="AK13" s="10"/>
      <c r="AL13" s="10"/>
      <c r="AM13" s="10"/>
      <c r="AN13" s="10"/>
      <c r="AO13" s="10"/>
      <c r="AP13" s="10">
        <v>4</v>
      </c>
      <c r="AQ13" s="10">
        <v>10.9</v>
      </c>
      <c r="AR13" s="10">
        <v>3</v>
      </c>
      <c r="AS13" s="10">
        <v>9.5</v>
      </c>
      <c r="AT13" s="10"/>
      <c r="AU13" s="10"/>
      <c r="AV13" s="10">
        <v>395487</v>
      </c>
      <c r="AW13" s="10"/>
      <c r="AX13" s="10"/>
      <c r="AY13" s="10"/>
      <c r="AZ13" s="10"/>
      <c r="BA13" s="10"/>
      <c r="BB13" s="10"/>
      <c r="BC13" s="10">
        <v>10</v>
      </c>
      <c r="BD13" s="10">
        <v>14.2</v>
      </c>
      <c r="BE13" s="10">
        <v>2</v>
      </c>
      <c r="BF13" s="10">
        <v>8.6999999999999993</v>
      </c>
      <c r="BG13" s="10"/>
      <c r="BH13" s="10"/>
      <c r="BI13" s="10">
        <v>418565</v>
      </c>
      <c r="BJ13" s="10"/>
      <c r="BK13" s="10"/>
      <c r="BL13" s="10"/>
      <c r="BM13" s="10"/>
      <c r="BN13" s="10"/>
      <c r="BO13" s="10"/>
      <c r="BP13" s="10">
        <v>8</v>
      </c>
      <c r="BQ13" s="10">
        <v>15.5</v>
      </c>
      <c r="BR13" s="10">
        <v>4</v>
      </c>
      <c r="BS13" s="10">
        <v>9.1</v>
      </c>
      <c r="BT13" s="10"/>
      <c r="BU13" s="10"/>
      <c r="BV13" s="10">
        <v>347325</v>
      </c>
      <c r="BW13" s="10"/>
      <c r="BX13" s="10"/>
      <c r="BY13" s="10"/>
      <c r="BZ13" s="10"/>
      <c r="CA13" s="10"/>
      <c r="CB13" s="10"/>
      <c r="CC13" s="10">
        <v>4</v>
      </c>
      <c r="CD13" s="10">
        <v>14.8</v>
      </c>
      <c r="CE13" s="10">
        <v>3</v>
      </c>
      <c r="CF13" s="10">
        <v>9</v>
      </c>
      <c r="CG13" s="10"/>
      <c r="CH13" s="10"/>
      <c r="CI13" s="10">
        <v>441258</v>
      </c>
      <c r="CJ13" s="10"/>
      <c r="CK13" s="10"/>
      <c r="CL13" s="10"/>
      <c r="CM13" s="10"/>
      <c r="CN13" s="10"/>
      <c r="CO13" s="10"/>
      <c r="CP13" s="10">
        <v>1</v>
      </c>
      <c r="CQ13" s="10">
        <v>13.3</v>
      </c>
      <c r="CR13" s="10">
        <v>0</v>
      </c>
      <c r="CS13" s="10">
        <v>7.8</v>
      </c>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56">
        <v>40</v>
      </c>
      <c r="FD13" s="56">
        <v>9</v>
      </c>
      <c r="FE13" s="56">
        <v>25</v>
      </c>
      <c r="FF13" s="56">
        <v>6.5</v>
      </c>
      <c r="FG13" s="56">
        <v>2500</v>
      </c>
      <c r="FH13" s="56">
        <v>25600</v>
      </c>
      <c r="FI13" s="56">
        <v>5314022</v>
      </c>
      <c r="FJ13" s="56"/>
      <c r="FK13" s="56"/>
      <c r="FL13" s="56"/>
      <c r="FM13" s="56"/>
      <c r="FN13" s="56"/>
      <c r="FO13" s="56"/>
    </row>
    <row r="14" spans="1:171" x14ac:dyDescent="0.25">
      <c r="A14" s="25">
        <v>13</v>
      </c>
      <c r="B14" s="27" t="s">
        <v>228</v>
      </c>
      <c r="C14" s="10">
        <v>295</v>
      </c>
      <c r="D14" s="10">
        <v>46</v>
      </c>
      <c r="E14" s="10">
        <v>176</v>
      </c>
      <c r="F14" s="10">
        <v>225</v>
      </c>
      <c r="G14" s="16">
        <v>151</v>
      </c>
      <c r="H14" s="16">
        <v>4</v>
      </c>
      <c r="I14" s="16">
        <v>1.42</v>
      </c>
      <c r="J14" s="16">
        <v>42.7</v>
      </c>
      <c r="K14" s="16">
        <v>6.25</v>
      </c>
      <c r="L14" s="10">
        <v>350</v>
      </c>
      <c r="M14" s="10">
        <v>100</v>
      </c>
      <c r="N14" s="10"/>
      <c r="O14" s="10"/>
      <c r="P14" s="10">
        <v>455</v>
      </c>
      <c r="Q14" s="10">
        <v>64</v>
      </c>
      <c r="R14" s="10">
        <v>259</v>
      </c>
      <c r="S14" s="10">
        <v>236</v>
      </c>
      <c r="T14" s="16">
        <v>171</v>
      </c>
      <c r="U14" s="10">
        <v>0</v>
      </c>
      <c r="V14" s="10">
        <v>2.12</v>
      </c>
      <c r="W14" s="10">
        <v>51.5</v>
      </c>
      <c r="X14" s="10">
        <v>5.64</v>
      </c>
      <c r="Y14" s="10">
        <v>318</v>
      </c>
      <c r="Z14" s="10">
        <v>84</v>
      </c>
      <c r="AA14" s="10"/>
      <c r="AB14" s="10"/>
      <c r="AC14" s="10">
        <v>331</v>
      </c>
      <c r="AD14" s="10">
        <v>65</v>
      </c>
      <c r="AE14" s="10">
        <v>211</v>
      </c>
      <c r="AF14" s="10">
        <v>203</v>
      </c>
      <c r="AG14" s="10">
        <v>170</v>
      </c>
      <c r="AH14" s="10">
        <v>6</v>
      </c>
      <c r="AI14" s="10">
        <v>1.83</v>
      </c>
      <c r="AJ14" s="10">
        <v>54.8</v>
      </c>
      <c r="AK14" s="10">
        <v>3.82</v>
      </c>
      <c r="AL14" s="10">
        <v>222</v>
      </c>
      <c r="AM14" s="10">
        <v>100</v>
      </c>
      <c r="AN14" s="10"/>
      <c r="AO14" s="10"/>
      <c r="AP14" s="10">
        <v>388</v>
      </c>
      <c r="AQ14" s="10">
        <v>46</v>
      </c>
      <c r="AR14" s="10">
        <v>270</v>
      </c>
      <c r="AS14" s="10">
        <v>211</v>
      </c>
      <c r="AT14" s="10">
        <v>213</v>
      </c>
      <c r="AU14" s="10">
        <v>0</v>
      </c>
      <c r="AV14" s="10">
        <v>1.63</v>
      </c>
      <c r="AW14" s="10">
        <v>49</v>
      </c>
      <c r="AX14" s="10">
        <v>9.44</v>
      </c>
      <c r="AY14" s="10">
        <v>376</v>
      </c>
      <c r="AZ14" s="10">
        <v>100</v>
      </c>
      <c r="BA14" s="10"/>
      <c r="BB14" s="10"/>
      <c r="BC14" s="10">
        <v>300</v>
      </c>
      <c r="BD14" s="10">
        <v>23</v>
      </c>
      <c r="BE14" s="10">
        <v>206</v>
      </c>
      <c r="BF14" s="10">
        <v>173</v>
      </c>
      <c r="BG14" s="10">
        <v>207</v>
      </c>
      <c r="BH14" s="10">
        <v>1</v>
      </c>
      <c r="BI14" s="10">
        <v>1.6</v>
      </c>
      <c r="BJ14" s="10">
        <v>47.9</v>
      </c>
      <c r="BK14" s="10">
        <v>5.25</v>
      </c>
      <c r="BL14" s="10">
        <v>269</v>
      </c>
      <c r="BM14" s="10">
        <v>100</v>
      </c>
      <c r="BN14" s="10"/>
      <c r="BO14" s="10"/>
      <c r="BP14" s="10">
        <v>265</v>
      </c>
      <c r="BQ14" s="10">
        <v>23</v>
      </c>
      <c r="BR14" s="10">
        <v>194</v>
      </c>
      <c r="BS14" s="10">
        <v>174</v>
      </c>
      <c r="BT14" s="10">
        <v>145</v>
      </c>
      <c r="BU14" s="10">
        <v>0</v>
      </c>
      <c r="BV14" s="10">
        <v>1.48</v>
      </c>
      <c r="BW14" s="10">
        <v>44.5</v>
      </c>
      <c r="BX14" s="10">
        <v>7.26</v>
      </c>
      <c r="BY14" s="10">
        <v>267</v>
      </c>
      <c r="BZ14" s="10">
        <v>100</v>
      </c>
      <c r="CA14" s="10"/>
      <c r="CB14" s="10"/>
      <c r="CC14" s="10">
        <v>364</v>
      </c>
      <c r="CD14" s="10">
        <v>21</v>
      </c>
      <c r="CE14" s="10">
        <v>247</v>
      </c>
      <c r="CF14" s="10">
        <v>194</v>
      </c>
      <c r="CG14" s="10">
        <v>183</v>
      </c>
      <c r="CH14" s="10">
        <v>0</v>
      </c>
      <c r="CI14" s="10">
        <v>1.6</v>
      </c>
      <c r="CJ14" s="10">
        <v>48</v>
      </c>
      <c r="CK14" s="10">
        <v>25.4</v>
      </c>
      <c r="CL14" s="10">
        <v>359</v>
      </c>
      <c r="CM14" s="10">
        <v>100</v>
      </c>
      <c r="CN14" s="10"/>
      <c r="CO14" s="10"/>
      <c r="CP14" s="10">
        <v>332</v>
      </c>
      <c r="CQ14" s="10">
        <v>22</v>
      </c>
      <c r="CR14" s="10">
        <v>218</v>
      </c>
      <c r="CS14" s="10">
        <v>168</v>
      </c>
      <c r="CT14" s="10">
        <v>221</v>
      </c>
      <c r="CU14" s="10">
        <v>0</v>
      </c>
      <c r="CV14" s="10">
        <v>1.6</v>
      </c>
      <c r="CW14" s="10">
        <v>48.1</v>
      </c>
      <c r="CX14" s="10">
        <v>4.26</v>
      </c>
      <c r="CY14" s="10">
        <v>262</v>
      </c>
      <c r="CZ14" s="10">
        <v>89</v>
      </c>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56">
        <v>3350</v>
      </c>
      <c r="FD14" s="56">
        <v>470</v>
      </c>
      <c r="FE14" s="56">
        <v>2450</v>
      </c>
      <c r="FF14" s="56">
        <v>1900</v>
      </c>
      <c r="FG14" s="56">
        <v>2175</v>
      </c>
      <c r="FH14" s="56">
        <v>75</v>
      </c>
      <c r="FI14" s="56">
        <v>1.5</v>
      </c>
      <c r="FJ14" s="56">
        <v>45</v>
      </c>
      <c r="FK14" s="56">
        <v>70</v>
      </c>
      <c r="FL14" s="56">
        <v>3300</v>
      </c>
      <c r="FM14" s="56">
        <v>90</v>
      </c>
      <c r="FN14" s="56"/>
      <c r="FO14" s="56"/>
    </row>
    <row r="15" spans="1:171" x14ac:dyDescent="0.25">
      <c r="A15" s="25">
        <v>14</v>
      </c>
      <c r="B15" s="27" t="s">
        <v>230</v>
      </c>
      <c r="C15" s="10">
        <v>100</v>
      </c>
      <c r="D15" s="10">
        <v>100</v>
      </c>
      <c r="E15" s="10">
        <v>100</v>
      </c>
      <c r="F15" s="10">
        <v>80</v>
      </c>
      <c r="G15" s="10">
        <v>100</v>
      </c>
      <c r="H15" s="10">
        <v>6</v>
      </c>
      <c r="I15" s="10">
        <v>211</v>
      </c>
      <c r="J15" s="10"/>
      <c r="K15" s="10"/>
      <c r="L15" s="10"/>
      <c r="M15" s="10"/>
      <c r="N15" s="10"/>
      <c r="O15" s="10"/>
      <c r="P15" s="10">
        <v>100</v>
      </c>
      <c r="Q15" s="10">
        <v>100</v>
      </c>
      <c r="R15" s="10">
        <v>100</v>
      </c>
      <c r="S15" s="10">
        <v>100</v>
      </c>
      <c r="T15" s="16">
        <v>100</v>
      </c>
      <c r="U15" s="10">
        <v>2</v>
      </c>
      <c r="V15" s="10">
        <v>271</v>
      </c>
      <c r="W15" s="10"/>
      <c r="X15" s="10"/>
      <c r="Y15" s="10"/>
      <c r="Z15" s="10"/>
      <c r="AA15" s="10"/>
      <c r="AB15" s="10"/>
      <c r="AC15" s="10">
        <v>100</v>
      </c>
      <c r="AD15" s="10">
        <v>100</v>
      </c>
      <c r="AE15" s="10">
        <v>100</v>
      </c>
      <c r="AF15" s="10">
        <v>0</v>
      </c>
      <c r="AG15" s="10">
        <v>100</v>
      </c>
      <c r="AH15" s="10">
        <v>1</v>
      </c>
      <c r="AI15" s="10">
        <v>490</v>
      </c>
      <c r="AJ15" s="10"/>
      <c r="AK15" s="10"/>
      <c r="AL15" s="10"/>
      <c r="AM15" s="10"/>
      <c r="AN15" s="10"/>
      <c r="AO15" s="10"/>
      <c r="AP15" s="10">
        <v>100</v>
      </c>
      <c r="AQ15" s="10">
        <v>100</v>
      </c>
      <c r="AR15" s="10">
        <v>100</v>
      </c>
      <c r="AS15" s="10">
        <v>0</v>
      </c>
      <c r="AT15" s="10">
        <v>100</v>
      </c>
      <c r="AU15" s="10">
        <v>1</v>
      </c>
      <c r="AV15" s="10">
        <v>557</v>
      </c>
      <c r="AW15" s="10"/>
      <c r="AX15" s="10"/>
      <c r="AY15" s="10"/>
      <c r="AZ15" s="10"/>
      <c r="BA15" s="10"/>
      <c r="BB15" s="10"/>
      <c r="BC15" s="10">
        <v>100</v>
      </c>
      <c r="BD15" s="10">
        <v>100</v>
      </c>
      <c r="BE15" s="10">
        <v>100</v>
      </c>
      <c r="BF15" s="10">
        <v>100</v>
      </c>
      <c r="BG15" s="10">
        <v>100</v>
      </c>
      <c r="BH15" s="10">
        <v>1</v>
      </c>
      <c r="BI15" s="10">
        <v>102</v>
      </c>
      <c r="BJ15" s="10"/>
      <c r="BK15" s="10"/>
      <c r="BL15" s="10"/>
      <c r="BM15" s="10"/>
      <c r="BN15" s="10"/>
      <c r="BO15" s="10"/>
      <c r="BP15" s="10">
        <v>100</v>
      </c>
      <c r="BQ15" s="10">
        <v>100</v>
      </c>
      <c r="BR15" s="10">
        <v>100</v>
      </c>
      <c r="BS15" s="10">
        <v>0</v>
      </c>
      <c r="BT15" s="10">
        <v>0</v>
      </c>
      <c r="BU15" s="10">
        <v>0</v>
      </c>
      <c r="BV15" s="10">
        <v>362</v>
      </c>
      <c r="BW15" s="10"/>
      <c r="BX15" s="10"/>
      <c r="BY15" s="10"/>
      <c r="BZ15" s="10"/>
      <c r="CA15" s="10"/>
      <c r="CB15" s="10"/>
      <c r="CC15" s="10">
        <v>100</v>
      </c>
      <c r="CD15" s="10">
        <v>100</v>
      </c>
      <c r="CE15" s="10">
        <v>100</v>
      </c>
      <c r="CF15" s="10">
        <v>0</v>
      </c>
      <c r="CG15" s="10">
        <v>0</v>
      </c>
      <c r="CH15" s="10">
        <v>0</v>
      </c>
      <c r="CI15" s="10">
        <v>397</v>
      </c>
      <c r="CJ15" s="10"/>
      <c r="CK15" s="10"/>
      <c r="CL15" s="10"/>
      <c r="CM15" s="10"/>
      <c r="CN15" s="10"/>
      <c r="CO15" s="10"/>
      <c r="CP15" s="10">
        <v>100</v>
      </c>
      <c r="CQ15" s="10">
        <v>100</v>
      </c>
      <c r="CR15" s="10">
        <v>100</v>
      </c>
      <c r="CS15" s="10">
        <v>0</v>
      </c>
      <c r="CT15" s="10">
        <v>0</v>
      </c>
      <c r="CU15" s="10">
        <v>0</v>
      </c>
      <c r="CV15" s="10">
        <v>183</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56">
        <v>99.99</v>
      </c>
      <c r="FD15" s="56">
        <v>99.99</v>
      </c>
      <c r="FE15" s="56">
        <v>99.99</v>
      </c>
      <c r="FF15" s="56">
        <v>55</v>
      </c>
      <c r="FG15" s="56">
        <v>75</v>
      </c>
      <c r="FH15" s="56">
        <v>50</v>
      </c>
      <c r="FI15" s="56"/>
      <c r="FJ15" s="56"/>
      <c r="FK15" s="56"/>
      <c r="FL15" s="56"/>
      <c r="FM15" s="56"/>
      <c r="FN15" s="56"/>
      <c r="FO15" s="56"/>
    </row>
    <row r="16" spans="1:171" x14ac:dyDescent="0.25">
      <c r="A16" s="25">
        <v>15</v>
      </c>
      <c r="B16" s="27" t="s">
        <v>7</v>
      </c>
      <c r="C16" s="10">
        <v>129.1</v>
      </c>
      <c r="D16" s="10">
        <v>13.9</v>
      </c>
      <c r="E16" s="10">
        <v>286</v>
      </c>
      <c r="F16" s="10">
        <v>9.1999999999999993</v>
      </c>
      <c r="G16" s="10">
        <v>264</v>
      </c>
      <c r="H16" s="10">
        <v>87.5</v>
      </c>
      <c r="I16" s="10"/>
      <c r="J16" s="10"/>
      <c r="K16" s="10"/>
      <c r="L16" s="10"/>
      <c r="M16" s="10"/>
      <c r="N16" s="10"/>
      <c r="O16" s="10"/>
      <c r="P16" s="10">
        <v>131.6</v>
      </c>
      <c r="Q16" s="10">
        <v>14.1</v>
      </c>
      <c r="R16" s="10">
        <v>289</v>
      </c>
      <c r="S16" s="10">
        <v>9.3000000000000007</v>
      </c>
      <c r="T16" s="16">
        <v>299</v>
      </c>
      <c r="U16" s="10">
        <v>83.7</v>
      </c>
      <c r="V16" s="10"/>
      <c r="W16" s="10"/>
      <c r="X16" s="10"/>
      <c r="Y16" s="10"/>
      <c r="Z16" s="10"/>
      <c r="AA16" s="10"/>
      <c r="AB16" s="10"/>
      <c r="AI16" s="10"/>
      <c r="AJ16" s="10"/>
      <c r="AK16" s="10"/>
      <c r="AL16" s="10"/>
      <c r="AM16" s="10"/>
      <c r="AN16" s="10"/>
      <c r="AO16" s="10"/>
      <c r="AP16" s="10">
        <v>127.6</v>
      </c>
      <c r="AQ16" s="10">
        <v>14.4</v>
      </c>
      <c r="AR16" s="10">
        <v>275</v>
      </c>
      <c r="AS16" s="10">
        <v>8.9</v>
      </c>
      <c r="AT16" s="10">
        <v>255</v>
      </c>
      <c r="AU16" s="10">
        <v>82</v>
      </c>
      <c r="AV16" s="10"/>
      <c r="AW16" s="10"/>
      <c r="AX16" s="10"/>
      <c r="AY16" s="10"/>
      <c r="AZ16" s="10"/>
      <c r="BA16" s="10"/>
      <c r="BB16" s="10"/>
      <c r="BC16" s="10">
        <v>137.69999999999999</v>
      </c>
      <c r="BD16" s="10">
        <v>17.600000000000001</v>
      </c>
      <c r="BE16" s="10">
        <v>234</v>
      </c>
      <c r="BF16" s="10">
        <v>7.8</v>
      </c>
      <c r="BG16" s="10">
        <v>238</v>
      </c>
      <c r="BH16" s="10">
        <v>85.8</v>
      </c>
      <c r="BI16" s="10"/>
      <c r="BJ16" s="10"/>
      <c r="BK16" s="10"/>
      <c r="BL16" s="10"/>
      <c r="BM16" s="10"/>
      <c r="BN16" s="10"/>
      <c r="BO16" s="10"/>
      <c r="BP16" s="10">
        <v>133.4</v>
      </c>
      <c r="BQ16" s="10">
        <v>20.100000000000001</v>
      </c>
      <c r="BR16" s="10">
        <v>206</v>
      </c>
      <c r="BS16" s="10">
        <v>6.6</v>
      </c>
      <c r="BT16" s="10">
        <v>219</v>
      </c>
      <c r="BU16" s="10">
        <v>87.3</v>
      </c>
      <c r="BV16" s="10"/>
      <c r="BW16" s="10"/>
      <c r="BX16" s="10"/>
      <c r="BY16" s="10"/>
      <c r="BZ16" s="10"/>
      <c r="CA16" s="10"/>
      <c r="CB16" s="10"/>
      <c r="CC16" s="10">
        <v>137.30000000000001</v>
      </c>
      <c r="CD16" s="10">
        <v>16.8</v>
      </c>
      <c r="CE16" s="10">
        <v>253</v>
      </c>
      <c r="CF16" s="10">
        <v>8.1999999999999993</v>
      </c>
      <c r="CG16" s="10">
        <v>243</v>
      </c>
      <c r="CH16" s="10">
        <v>89.8</v>
      </c>
      <c r="CI16" s="10"/>
      <c r="CJ16" s="10"/>
      <c r="CK16" s="10"/>
      <c r="CL16" s="10"/>
      <c r="CM16" s="10"/>
      <c r="CN16" s="10"/>
      <c r="CO16" s="10"/>
      <c r="CP16" s="10">
        <v>126.3</v>
      </c>
      <c r="CQ16" s="10">
        <v>15.9</v>
      </c>
      <c r="CR16" s="10">
        <v>222</v>
      </c>
      <c r="CS16" s="10">
        <v>7.9</v>
      </c>
      <c r="CT16" s="10">
        <v>235</v>
      </c>
      <c r="CU16" s="10">
        <v>88.9</v>
      </c>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56">
        <v>110</v>
      </c>
      <c r="FD16" s="56">
        <v>12</v>
      </c>
      <c r="FE16" s="56">
        <v>2800</v>
      </c>
      <c r="FF16" s="56">
        <v>7.5</v>
      </c>
      <c r="FG16" s="56">
        <v>2800</v>
      </c>
      <c r="FH16" s="56">
        <v>78</v>
      </c>
      <c r="FI16" s="56"/>
      <c r="FJ16" s="56"/>
      <c r="FK16" s="56"/>
      <c r="FL16" s="56"/>
      <c r="FM16" s="56"/>
      <c r="FN16" s="56"/>
      <c r="FO16" s="56"/>
    </row>
    <row r="17" spans="1:171" x14ac:dyDescent="0.25">
      <c r="A17" s="25">
        <v>16</v>
      </c>
      <c r="B17" s="27" t="s">
        <v>8</v>
      </c>
      <c r="C17" s="10">
        <v>15017</v>
      </c>
      <c r="D17" s="10">
        <v>8634</v>
      </c>
      <c r="E17" s="10">
        <v>1384</v>
      </c>
      <c r="F17" s="10">
        <v>1056</v>
      </c>
      <c r="G17" s="16">
        <v>11252</v>
      </c>
      <c r="H17" s="10">
        <v>2452</v>
      </c>
      <c r="I17" s="10">
        <v>2.14</v>
      </c>
      <c r="J17" s="10">
        <v>2.61</v>
      </c>
      <c r="K17" s="10">
        <v>7.59</v>
      </c>
      <c r="L17" s="10">
        <v>213</v>
      </c>
      <c r="M17" s="10">
        <v>156</v>
      </c>
      <c r="N17" s="10">
        <v>53</v>
      </c>
      <c r="O17" s="10">
        <v>0</v>
      </c>
      <c r="P17" s="10">
        <v>15664</v>
      </c>
      <c r="Q17" s="10">
        <v>7788</v>
      </c>
      <c r="R17" s="10">
        <v>901</v>
      </c>
      <c r="S17" s="10">
        <v>1036</v>
      </c>
      <c r="T17" s="16">
        <v>10780</v>
      </c>
      <c r="U17" s="10">
        <v>2507</v>
      </c>
      <c r="V17" s="10">
        <v>2.09</v>
      </c>
      <c r="W17" s="10">
        <v>2.57</v>
      </c>
      <c r="X17" s="10">
        <v>7.71</v>
      </c>
      <c r="Y17" s="10">
        <v>161</v>
      </c>
      <c r="Z17" s="10">
        <v>154</v>
      </c>
      <c r="AA17" s="10">
        <v>40</v>
      </c>
      <c r="AB17" s="10">
        <v>0</v>
      </c>
      <c r="AC17" s="10">
        <v>13764</v>
      </c>
      <c r="AD17" s="10">
        <v>6860</v>
      </c>
      <c r="AE17" s="10">
        <v>767</v>
      </c>
      <c r="AF17" s="10">
        <v>827</v>
      </c>
      <c r="AG17" s="10">
        <v>8065</v>
      </c>
      <c r="AH17" s="10">
        <v>2408</v>
      </c>
      <c r="AI17" s="10">
        <v>1.91</v>
      </c>
      <c r="AJ17" s="10">
        <v>2.38</v>
      </c>
      <c r="AK17" s="10">
        <v>8.33</v>
      </c>
      <c r="AL17" s="10">
        <v>148</v>
      </c>
      <c r="AM17" s="10">
        <v>204</v>
      </c>
      <c r="AN17" s="10">
        <v>37</v>
      </c>
      <c r="AO17" s="10">
        <v>0</v>
      </c>
      <c r="AP17" s="10">
        <v>13996</v>
      </c>
      <c r="AQ17" s="10">
        <v>6968</v>
      </c>
      <c r="AR17" s="10">
        <v>1032</v>
      </c>
      <c r="AS17" s="10">
        <v>988</v>
      </c>
      <c r="AT17" s="10">
        <v>10199</v>
      </c>
      <c r="AU17" s="10">
        <v>2446</v>
      </c>
      <c r="AV17" s="10">
        <v>1.92</v>
      </c>
      <c r="AW17" s="10">
        <v>2.38</v>
      </c>
      <c r="AX17" s="10">
        <v>8.31</v>
      </c>
      <c r="AY17" s="10">
        <v>366</v>
      </c>
      <c r="AZ17" s="10">
        <v>1555</v>
      </c>
      <c r="BA17" s="10">
        <v>92</v>
      </c>
      <c r="BB17" s="10">
        <v>0</v>
      </c>
      <c r="BC17" s="10">
        <v>11966</v>
      </c>
      <c r="BD17" s="10">
        <v>5712</v>
      </c>
      <c r="BE17" s="10">
        <v>1037</v>
      </c>
      <c r="BF17" s="10">
        <v>863</v>
      </c>
      <c r="BG17" s="10">
        <v>7741</v>
      </c>
      <c r="BH17" s="10">
        <v>1997</v>
      </c>
      <c r="BI17" s="10">
        <v>1.83</v>
      </c>
      <c r="BJ17" s="10">
        <v>2.2799999999999998</v>
      </c>
      <c r="BK17" s="10">
        <v>8.69</v>
      </c>
      <c r="BL17" s="10">
        <v>406</v>
      </c>
      <c r="BM17" s="10">
        <v>610</v>
      </c>
      <c r="BN17" s="10">
        <v>102</v>
      </c>
      <c r="BO17" s="10">
        <v>0</v>
      </c>
      <c r="BP17" s="15">
        <v>10707</v>
      </c>
      <c r="BQ17" s="10">
        <v>5017</v>
      </c>
      <c r="BR17" s="10">
        <v>1053</v>
      </c>
      <c r="BS17" s="10">
        <v>736</v>
      </c>
      <c r="BT17" s="10">
        <v>6793</v>
      </c>
      <c r="BU17" s="10">
        <v>1896</v>
      </c>
      <c r="BV17" s="10">
        <v>1.74</v>
      </c>
      <c r="BW17" s="10">
        <v>2.17</v>
      </c>
      <c r="BX17" s="10">
        <v>9.11</v>
      </c>
      <c r="BY17" s="10">
        <v>241</v>
      </c>
      <c r="BZ17" s="10">
        <v>159</v>
      </c>
      <c r="CA17" s="10">
        <v>60</v>
      </c>
      <c r="CB17" s="10">
        <v>0</v>
      </c>
      <c r="CC17" s="10">
        <v>13619</v>
      </c>
      <c r="CD17" s="10">
        <v>6546</v>
      </c>
      <c r="CE17" s="10">
        <v>1322</v>
      </c>
      <c r="CF17" s="10">
        <v>842</v>
      </c>
      <c r="CG17" s="10">
        <v>8626</v>
      </c>
      <c r="CH17" s="10">
        <v>2518</v>
      </c>
      <c r="CI17" s="10">
        <v>1.72</v>
      </c>
      <c r="CJ17" s="10">
        <v>2.17</v>
      </c>
      <c r="CK17" s="10">
        <v>9.14</v>
      </c>
      <c r="CL17" s="10">
        <v>225</v>
      </c>
      <c r="CM17" s="10">
        <v>228</v>
      </c>
      <c r="CN17" s="10">
        <v>56</v>
      </c>
      <c r="CO17" s="10">
        <v>0</v>
      </c>
      <c r="CP17" s="10">
        <v>12245</v>
      </c>
      <c r="CQ17" s="10">
        <v>5762</v>
      </c>
      <c r="CR17" s="10">
        <v>1164</v>
      </c>
      <c r="CS17" s="10">
        <v>904</v>
      </c>
      <c r="CT17" s="10">
        <v>8153</v>
      </c>
      <c r="CU17" s="10">
        <v>2236</v>
      </c>
      <c r="CV17" s="10">
        <v>1.7</v>
      </c>
      <c r="CW17" s="10">
        <v>2.14</v>
      </c>
      <c r="CX17" s="10">
        <v>9.24</v>
      </c>
      <c r="CY17" s="10">
        <v>203</v>
      </c>
      <c r="CZ17" s="10">
        <v>220</v>
      </c>
      <c r="DA17" s="10">
        <v>51</v>
      </c>
      <c r="DB17" s="10">
        <v>0</v>
      </c>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56">
        <v>175000</v>
      </c>
      <c r="FD17" s="56">
        <v>96000</v>
      </c>
      <c r="FE17" s="57">
        <v>10500</v>
      </c>
      <c r="FF17" s="57">
        <v>15000</v>
      </c>
      <c r="FG17" s="57">
        <v>130000</v>
      </c>
      <c r="FH17" s="57">
        <v>35000</v>
      </c>
      <c r="FI17" s="58">
        <v>2.25</v>
      </c>
      <c r="FJ17" s="58">
        <v>3</v>
      </c>
      <c r="FK17" s="58">
        <v>7.5</v>
      </c>
      <c r="FL17" s="57">
        <v>1250</v>
      </c>
      <c r="FM17" s="57">
        <v>1500</v>
      </c>
      <c r="FN17" s="56">
        <v>20</v>
      </c>
      <c r="FO17" s="56">
        <v>5</v>
      </c>
    </row>
    <row r="18" spans="1:171" x14ac:dyDescent="0.25">
      <c r="A18" s="25">
        <v>17</v>
      </c>
      <c r="B18" s="27" t="s">
        <v>231</v>
      </c>
      <c r="C18" s="10">
        <v>47</v>
      </c>
      <c r="D18" s="10">
        <v>2</v>
      </c>
      <c r="E18" s="10">
        <v>59</v>
      </c>
      <c r="F18" s="10">
        <v>6</v>
      </c>
      <c r="G18" s="10">
        <v>402</v>
      </c>
      <c r="H18" s="10">
        <v>39</v>
      </c>
      <c r="I18" s="10">
        <v>331</v>
      </c>
      <c r="J18" s="10">
        <v>35</v>
      </c>
      <c r="K18" s="10">
        <v>66</v>
      </c>
      <c r="L18" s="10">
        <v>89</v>
      </c>
      <c r="M18" s="10">
        <v>25</v>
      </c>
      <c r="N18" s="10"/>
      <c r="O18" s="10"/>
      <c r="P18" s="10">
        <v>44</v>
      </c>
      <c r="Q18" s="10">
        <v>0</v>
      </c>
      <c r="R18" s="10">
        <v>57</v>
      </c>
      <c r="S18" s="10">
        <v>5</v>
      </c>
      <c r="T18" s="16">
        <v>452</v>
      </c>
      <c r="U18" s="10">
        <v>48</v>
      </c>
      <c r="V18" s="10">
        <v>359</v>
      </c>
      <c r="W18" s="10">
        <v>26</v>
      </c>
      <c r="X18" s="10">
        <v>74</v>
      </c>
      <c r="Y18" s="10">
        <v>91</v>
      </c>
      <c r="Z18" s="10">
        <v>42</v>
      </c>
      <c r="AA18" s="10"/>
      <c r="AB18" s="10"/>
      <c r="AC18" s="10">
        <v>45</v>
      </c>
      <c r="AD18" s="10">
        <v>0</v>
      </c>
      <c r="AE18" s="10">
        <v>56</v>
      </c>
      <c r="AF18" s="10">
        <v>4</v>
      </c>
      <c r="AG18" s="10">
        <v>447</v>
      </c>
      <c r="AH18" s="10">
        <v>45</v>
      </c>
      <c r="AI18" s="10">
        <v>379</v>
      </c>
      <c r="AJ18" s="10">
        <v>36</v>
      </c>
      <c r="AK18" s="10">
        <v>50</v>
      </c>
      <c r="AL18" s="10">
        <v>86</v>
      </c>
      <c r="AM18" s="10">
        <v>36</v>
      </c>
      <c r="AN18" s="10"/>
      <c r="AO18" s="10"/>
      <c r="AP18" s="10">
        <v>47</v>
      </c>
      <c r="AQ18" s="10">
        <v>1</v>
      </c>
      <c r="AR18" s="10">
        <v>65</v>
      </c>
      <c r="AS18" s="10">
        <v>4</v>
      </c>
      <c r="AT18" s="10">
        <v>435</v>
      </c>
      <c r="AU18" s="10">
        <v>40</v>
      </c>
      <c r="AV18" s="10">
        <v>388</v>
      </c>
      <c r="AW18" s="10">
        <v>3</v>
      </c>
      <c r="AX18" s="10">
        <v>67</v>
      </c>
      <c r="AY18" s="10">
        <v>82</v>
      </c>
      <c r="AZ18" s="10">
        <v>32</v>
      </c>
      <c r="BA18" s="10"/>
      <c r="BB18" s="10"/>
      <c r="BC18" s="10">
        <v>55</v>
      </c>
      <c r="BD18" s="10">
        <v>1</v>
      </c>
      <c r="BE18" s="10">
        <v>73</v>
      </c>
      <c r="BF18" s="10">
        <v>3</v>
      </c>
      <c r="BG18" s="10">
        <v>498</v>
      </c>
      <c r="BH18" s="10">
        <v>52</v>
      </c>
      <c r="BI18" s="10">
        <v>357</v>
      </c>
      <c r="BJ18" s="10">
        <v>14</v>
      </c>
      <c r="BK18" s="10">
        <v>60</v>
      </c>
      <c r="BL18" s="10">
        <v>79</v>
      </c>
      <c r="BM18" s="10">
        <v>36</v>
      </c>
      <c r="BN18" s="10"/>
      <c r="BO18" s="10"/>
      <c r="BP18" s="10">
        <v>63</v>
      </c>
      <c r="BQ18" s="10">
        <v>3</v>
      </c>
      <c r="BR18" s="10">
        <v>84</v>
      </c>
      <c r="BS18" s="10">
        <v>3</v>
      </c>
      <c r="BT18" s="10">
        <v>477</v>
      </c>
      <c r="BU18" s="10">
        <v>46</v>
      </c>
      <c r="BV18" s="10">
        <v>321</v>
      </c>
      <c r="BW18" s="10">
        <v>2</v>
      </c>
      <c r="BX18" s="10">
        <v>46</v>
      </c>
      <c r="BY18" s="10">
        <v>85</v>
      </c>
      <c r="BZ18" s="10">
        <v>18</v>
      </c>
      <c r="CA18" s="10"/>
      <c r="CB18" s="10"/>
      <c r="CC18" s="10">
        <v>58</v>
      </c>
      <c r="CD18" s="10">
        <v>0</v>
      </c>
      <c r="CE18" s="10">
        <v>79</v>
      </c>
      <c r="CF18" s="10">
        <v>5</v>
      </c>
      <c r="CG18" s="10">
        <v>459</v>
      </c>
      <c r="CH18" s="10">
        <v>61</v>
      </c>
      <c r="CI18" s="10">
        <v>428</v>
      </c>
      <c r="CJ18" s="10">
        <v>15</v>
      </c>
      <c r="CK18" s="10">
        <v>52</v>
      </c>
      <c r="CL18" s="10">
        <v>92</v>
      </c>
      <c r="CM18" s="10">
        <v>36</v>
      </c>
      <c r="CN18" s="10"/>
      <c r="CO18" s="10"/>
      <c r="CP18" s="10">
        <v>8</v>
      </c>
      <c r="CQ18" s="10">
        <v>0</v>
      </c>
      <c r="CR18" s="10">
        <v>0</v>
      </c>
      <c r="CS18" s="10">
        <v>2</v>
      </c>
      <c r="CT18" s="10">
        <v>228</v>
      </c>
      <c r="CU18" s="10">
        <v>6</v>
      </c>
      <c r="CV18" s="10">
        <v>201</v>
      </c>
      <c r="CW18" s="10">
        <v>33</v>
      </c>
      <c r="CX18" s="10">
        <v>30</v>
      </c>
      <c r="CY18" s="10">
        <v>100</v>
      </c>
      <c r="CZ18" s="10">
        <v>44</v>
      </c>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56">
        <v>420</v>
      </c>
      <c r="FD18" s="56">
        <v>8</v>
      </c>
      <c r="FE18" s="56">
        <v>575</v>
      </c>
      <c r="FF18" s="56">
        <v>40</v>
      </c>
      <c r="FG18" s="56">
        <v>4500</v>
      </c>
      <c r="FH18" s="56">
        <v>525</v>
      </c>
      <c r="FI18" s="56">
        <v>3700</v>
      </c>
      <c r="FJ18" s="56">
        <v>50</v>
      </c>
      <c r="FK18" s="56">
        <v>700</v>
      </c>
      <c r="FL18" s="56">
        <v>90</v>
      </c>
      <c r="FM18" s="56">
        <v>270</v>
      </c>
      <c r="FN18" s="56"/>
      <c r="FO18" s="56"/>
    </row>
    <row r="19" spans="1:171" x14ac:dyDescent="0.25">
      <c r="A19" s="25">
        <v>18</v>
      </c>
      <c r="B19" s="27" t="s">
        <v>9</v>
      </c>
      <c r="C19" s="10">
        <v>163</v>
      </c>
      <c r="D19" s="10">
        <v>199</v>
      </c>
      <c r="E19" s="10">
        <v>483</v>
      </c>
      <c r="F19" s="10">
        <v>196</v>
      </c>
      <c r="G19" s="10">
        <v>7.8</v>
      </c>
      <c r="H19" s="10">
        <v>21577</v>
      </c>
      <c r="I19" s="10">
        <v>44108</v>
      </c>
      <c r="J19" s="10">
        <v>25.9</v>
      </c>
      <c r="K19" s="10"/>
      <c r="L19" s="10"/>
      <c r="M19" s="10"/>
      <c r="N19" s="10"/>
      <c r="O19" s="10"/>
      <c r="P19" s="10">
        <v>191</v>
      </c>
      <c r="Q19" s="10">
        <v>220</v>
      </c>
      <c r="R19" s="10">
        <v>521</v>
      </c>
      <c r="S19" s="10">
        <v>217</v>
      </c>
      <c r="T19" s="16">
        <v>8.3000000000000007</v>
      </c>
      <c r="U19" s="10">
        <v>25741</v>
      </c>
      <c r="V19" s="10">
        <v>59431</v>
      </c>
      <c r="W19" s="10">
        <v>525</v>
      </c>
      <c r="X19" s="10"/>
      <c r="Y19" s="10"/>
      <c r="Z19" s="10"/>
      <c r="AA19" s="10"/>
      <c r="AB19" s="10"/>
      <c r="AC19" s="10">
        <v>148</v>
      </c>
      <c r="AD19" s="10">
        <v>163</v>
      </c>
      <c r="AE19" s="10">
        <v>416</v>
      </c>
      <c r="AF19" s="10">
        <v>103</v>
      </c>
      <c r="AG19" s="10">
        <v>8.1999999999999993</v>
      </c>
      <c r="AH19" s="10">
        <v>19336</v>
      </c>
      <c r="AI19" s="10">
        <v>37738</v>
      </c>
      <c r="AJ19" s="10">
        <v>22</v>
      </c>
      <c r="AK19" s="10"/>
      <c r="AL19" s="10"/>
      <c r="AM19" s="10"/>
      <c r="AN19" s="10"/>
      <c r="AO19" s="10"/>
      <c r="AP19" s="10">
        <v>164</v>
      </c>
      <c r="AQ19" s="10">
        <v>209</v>
      </c>
      <c r="AR19" s="10">
        <v>482</v>
      </c>
      <c r="AS19" s="10">
        <v>164</v>
      </c>
      <c r="AT19" s="10">
        <v>7.1</v>
      </c>
      <c r="AU19" s="10">
        <v>26370</v>
      </c>
      <c r="AV19" s="10">
        <v>36485</v>
      </c>
      <c r="AW19" s="10">
        <v>73</v>
      </c>
      <c r="AX19" s="10"/>
      <c r="AY19" s="10"/>
      <c r="AZ19" s="10"/>
      <c r="BA19" s="10"/>
      <c r="BB19" s="10"/>
      <c r="BC19" s="10">
        <v>124</v>
      </c>
      <c r="BD19" s="10">
        <v>175</v>
      </c>
      <c r="BE19" s="10">
        <v>412</v>
      </c>
      <c r="BF19" s="10">
        <v>144</v>
      </c>
      <c r="BG19" s="10">
        <v>6.5</v>
      </c>
      <c r="BH19" s="10">
        <v>18388</v>
      </c>
      <c r="BI19" s="10">
        <v>29983</v>
      </c>
      <c r="BJ19" s="10">
        <v>59</v>
      </c>
      <c r="BK19" s="10"/>
      <c r="BL19" s="10"/>
      <c r="BM19" s="10"/>
      <c r="BN19" s="10"/>
      <c r="BO19" s="10"/>
      <c r="BP19" s="10">
        <v>168</v>
      </c>
      <c r="BQ19" s="10">
        <v>198</v>
      </c>
      <c r="BR19" s="10">
        <v>436</v>
      </c>
      <c r="BS19" s="10">
        <v>85</v>
      </c>
      <c r="BT19" s="10">
        <v>9.3000000000000007</v>
      </c>
      <c r="BU19" s="10">
        <v>21322</v>
      </c>
      <c r="BV19" s="10">
        <v>42289</v>
      </c>
      <c r="BW19" s="10">
        <v>149</v>
      </c>
      <c r="BX19" s="10"/>
      <c r="BY19" s="10"/>
      <c r="BZ19" s="10"/>
      <c r="CA19" s="10"/>
      <c r="CB19" s="10"/>
      <c r="CC19" s="10">
        <v>134</v>
      </c>
      <c r="CD19" s="10">
        <v>145</v>
      </c>
      <c r="CE19" s="10">
        <v>584</v>
      </c>
      <c r="CF19" s="10">
        <v>155</v>
      </c>
      <c r="CG19" s="10">
        <v>6.4</v>
      </c>
      <c r="CH19" s="10">
        <v>20182</v>
      </c>
      <c r="CI19" s="10">
        <v>31910</v>
      </c>
      <c r="CJ19" s="10">
        <v>22</v>
      </c>
      <c r="CK19" s="10"/>
      <c r="CL19" s="10"/>
      <c r="CM19" s="10"/>
      <c r="CN19" s="10"/>
      <c r="CO19" s="10"/>
      <c r="CP19" s="10">
        <v>145</v>
      </c>
      <c r="CQ19" s="10">
        <v>212</v>
      </c>
      <c r="CR19" s="10">
        <v>547</v>
      </c>
      <c r="CS19" s="10">
        <v>183</v>
      </c>
      <c r="CT19" s="10">
        <v>7.3</v>
      </c>
      <c r="CU19" s="10">
        <v>21756</v>
      </c>
      <c r="CV19" s="10">
        <v>36488</v>
      </c>
      <c r="CW19" s="10">
        <v>21</v>
      </c>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56">
        <v>1850</v>
      </c>
      <c r="FD19" s="56">
        <v>2050</v>
      </c>
      <c r="FE19" s="56">
        <v>5700</v>
      </c>
      <c r="FF19" s="56">
        <v>1600</v>
      </c>
      <c r="FG19" s="56">
        <v>7.7</v>
      </c>
      <c r="FH19" s="56">
        <v>248000</v>
      </c>
      <c r="FI19" s="56">
        <v>350000</v>
      </c>
      <c r="FJ19" s="56">
        <v>500</v>
      </c>
      <c r="FK19" s="56"/>
      <c r="FL19" s="56"/>
      <c r="FM19" s="56"/>
      <c r="FN19" s="56"/>
      <c r="FO19" s="56"/>
    </row>
    <row r="20" spans="1:171" ht="12" customHeight="1" x14ac:dyDescent="0.25">
      <c r="A20" s="25">
        <v>19</v>
      </c>
      <c r="B20" s="27" t="s">
        <v>61</v>
      </c>
      <c r="C20" s="10">
        <v>4</v>
      </c>
      <c r="D20" s="10">
        <v>20</v>
      </c>
      <c r="E20" s="10">
        <v>16</v>
      </c>
      <c r="F20" s="10">
        <v>32</v>
      </c>
      <c r="G20" s="10"/>
      <c r="H20" s="10"/>
      <c r="I20" s="10"/>
      <c r="J20" s="10"/>
      <c r="K20" s="10"/>
      <c r="L20" s="10"/>
      <c r="M20" s="10"/>
      <c r="N20" s="10"/>
      <c r="O20" s="10"/>
      <c r="P20" s="10">
        <v>4</v>
      </c>
      <c r="Q20" s="10">
        <v>3</v>
      </c>
      <c r="R20" s="10">
        <v>19</v>
      </c>
      <c r="S20" s="10">
        <v>41</v>
      </c>
      <c r="T20" s="16"/>
      <c r="U20" s="10"/>
      <c r="V20" s="10"/>
      <c r="W20" s="10"/>
      <c r="X20" s="10"/>
      <c r="Y20" s="10"/>
      <c r="Z20" s="10"/>
      <c r="AA20" s="10"/>
      <c r="AB20" s="10"/>
      <c r="AC20" s="10">
        <v>5</v>
      </c>
      <c r="AD20" s="10">
        <v>14</v>
      </c>
      <c r="AE20" s="10">
        <v>0</v>
      </c>
      <c r="AF20" s="10">
        <v>52</v>
      </c>
      <c r="AG20" s="10"/>
      <c r="AH20" s="10"/>
      <c r="AI20" s="10"/>
      <c r="AJ20" s="10"/>
      <c r="AK20" s="10"/>
      <c r="AL20" s="10"/>
      <c r="AM20" s="10"/>
      <c r="AN20" s="10"/>
      <c r="AO20" s="10"/>
      <c r="AP20" s="10">
        <v>6</v>
      </c>
      <c r="AQ20" s="10">
        <v>6</v>
      </c>
      <c r="AR20" s="10"/>
      <c r="AS20" s="10"/>
      <c r="AT20" s="10"/>
      <c r="AU20" s="10"/>
      <c r="AV20" s="10"/>
      <c r="AW20" s="10"/>
      <c r="AX20" s="10"/>
      <c r="AY20" s="10"/>
      <c r="AZ20" s="10"/>
      <c r="BA20" s="10"/>
      <c r="BB20" s="10"/>
      <c r="BC20" s="10">
        <v>12</v>
      </c>
      <c r="BD20" s="10">
        <v>12</v>
      </c>
      <c r="BE20" s="10"/>
      <c r="BF20" s="10"/>
      <c r="BG20" s="10"/>
      <c r="BH20" s="10"/>
      <c r="BI20" s="10"/>
      <c r="BJ20" s="10"/>
      <c r="BK20" s="10"/>
      <c r="BL20" s="10"/>
      <c r="BM20" s="10"/>
      <c r="BN20" s="10"/>
      <c r="BO20" s="10"/>
      <c r="BP20" s="10">
        <v>9</v>
      </c>
      <c r="BQ20" s="10">
        <v>9</v>
      </c>
      <c r="BR20" s="10"/>
      <c r="BS20" s="10"/>
      <c r="BT20" s="10"/>
      <c r="BU20" s="10"/>
      <c r="BV20" s="10"/>
      <c r="BW20" s="10"/>
      <c r="BX20" s="10"/>
      <c r="BY20" s="10"/>
      <c r="BZ20" s="10"/>
      <c r="CA20" s="10"/>
      <c r="CB20" s="10"/>
      <c r="CC20" s="10">
        <v>13</v>
      </c>
      <c r="CD20" s="10">
        <v>12</v>
      </c>
      <c r="CE20" s="10"/>
      <c r="CF20" s="10"/>
      <c r="CG20" s="10"/>
      <c r="CH20" s="10"/>
      <c r="CI20" s="10"/>
      <c r="CJ20" s="10"/>
      <c r="CK20" s="10"/>
      <c r="CL20" s="10"/>
      <c r="CM20" s="10"/>
      <c r="CN20" s="10"/>
      <c r="CO20" s="10"/>
      <c r="CP20" s="10">
        <v>8</v>
      </c>
      <c r="CQ20" s="10">
        <v>7</v>
      </c>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56">
        <v>75</v>
      </c>
      <c r="FD20" s="56">
        <v>150</v>
      </c>
      <c r="FE20" s="56">
        <v>75</v>
      </c>
      <c r="FF20" s="56">
        <v>500</v>
      </c>
      <c r="FG20" s="56"/>
      <c r="FH20" s="56"/>
      <c r="FI20" s="56"/>
      <c r="FJ20" s="56"/>
      <c r="FK20" s="56"/>
      <c r="FL20" s="56"/>
      <c r="FM20" s="56"/>
      <c r="FN20" s="56"/>
      <c r="FO20" s="56"/>
    </row>
    <row r="21" spans="1:171" x14ac:dyDescent="0.25">
      <c r="A21" s="25">
        <v>20</v>
      </c>
      <c r="B21" s="27" t="s">
        <v>233</v>
      </c>
      <c r="C21" s="10">
        <v>26358</v>
      </c>
      <c r="D21" s="10">
        <v>3591</v>
      </c>
      <c r="E21" s="10">
        <v>1511</v>
      </c>
      <c r="F21" s="10">
        <v>2.38</v>
      </c>
      <c r="G21" s="10">
        <v>0.13600000000000001</v>
      </c>
      <c r="H21" s="10">
        <v>36.36</v>
      </c>
      <c r="I21" s="10">
        <v>4.95</v>
      </c>
      <c r="J21" s="10"/>
      <c r="K21" s="10"/>
      <c r="L21" s="10"/>
      <c r="M21" s="10"/>
      <c r="N21" s="10"/>
      <c r="O21" s="10"/>
      <c r="P21" s="10">
        <v>29127</v>
      </c>
      <c r="Q21" s="10">
        <v>4249</v>
      </c>
      <c r="R21" s="10">
        <v>1725</v>
      </c>
      <c r="S21" s="10">
        <v>2.46</v>
      </c>
      <c r="T21" s="16">
        <v>0.14599999999999999</v>
      </c>
      <c r="U21" s="10">
        <v>17.579999999999998</v>
      </c>
      <c r="V21" s="10">
        <v>2.56</v>
      </c>
      <c r="W21" s="10"/>
      <c r="X21" s="10"/>
      <c r="Y21" s="10"/>
      <c r="Z21" s="10"/>
      <c r="AA21" s="10"/>
      <c r="AB21" s="10"/>
      <c r="AC21" s="10">
        <v>22487</v>
      </c>
      <c r="AD21" s="10">
        <v>3599</v>
      </c>
      <c r="AE21" s="10">
        <v>1351</v>
      </c>
      <c r="AF21" s="10">
        <v>2.66</v>
      </c>
      <c r="AG21" s="10">
        <v>0.16</v>
      </c>
      <c r="AH21" s="10">
        <v>18.55</v>
      </c>
      <c r="AI21" s="10">
        <v>2.97</v>
      </c>
      <c r="AJ21" s="10"/>
      <c r="AK21" s="10"/>
      <c r="AL21" s="10"/>
      <c r="AM21" s="10"/>
      <c r="AN21" s="10"/>
      <c r="AO21" s="10"/>
      <c r="AP21" s="10">
        <v>29915</v>
      </c>
      <c r="AQ21" s="10">
        <v>4915</v>
      </c>
      <c r="AR21" s="10">
        <v>1717</v>
      </c>
      <c r="AS21" s="10">
        <v>2.86</v>
      </c>
      <c r="AT21" s="10">
        <v>0.16</v>
      </c>
      <c r="AU21" s="10">
        <v>17.82</v>
      </c>
      <c r="AV21" s="10">
        <v>2.93</v>
      </c>
      <c r="AW21" s="10"/>
      <c r="AX21" s="10"/>
      <c r="AY21" s="10"/>
      <c r="AZ21" s="10"/>
      <c r="BA21" s="10"/>
      <c r="BB21" s="10"/>
      <c r="BC21" s="10">
        <v>25228</v>
      </c>
      <c r="BD21" s="10">
        <v>4341</v>
      </c>
      <c r="BE21" s="10">
        <v>1485.8</v>
      </c>
      <c r="BF21" s="10">
        <v>2.92</v>
      </c>
      <c r="BG21" s="10">
        <v>0.17199999999999999</v>
      </c>
      <c r="BH21" s="10">
        <v>24.61</v>
      </c>
      <c r="BI21" s="10">
        <v>4.2300000000000004</v>
      </c>
      <c r="BJ21" s="10"/>
      <c r="BK21" s="10"/>
      <c r="BL21" s="10"/>
      <c r="BM21" s="10"/>
      <c r="BN21" s="10"/>
      <c r="BO21" s="10"/>
      <c r="BP21" s="10">
        <v>21383</v>
      </c>
      <c r="BQ21" s="10">
        <v>3493</v>
      </c>
      <c r="BR21" s="10">
        <v>1291.8</v>
      </c>
      <c r="BS21" s="10">
        <v>2.7</v>
      </c>
      <c r="BT21" s="10">
        <v>0.16300000000000001</v>
      </c>
      <c r="BU21" s="10">
        <v>25.56</v>
      </c>
      <c r="BV21" s="10">
        <v>4.17</v>
      </c>
      <c r="BW21" s="10"/>
      <c r="BX21" s="10"/>
      <c r="BY21" s="10"/>
      <c r="BZ21" s="10"/>
      <c r="CA21" s="10"/>
      <c r="CB21" s="10"/>
      <c r="CC21" s="10">
        <v>27583</v>
      </c>
      <c r="CD21" s="10">
        <v>4583</v>
      </c>
      <c r="CE21" s="10">
        <v>1663</v>
      </c>
      <c r="CF21" s="10">
        <v>2.76</v>
      </c>
      <c r="CG21" s="10">
        <v>0.16500000000000001</v>
      </c>
      <c r="CH21" s="10">
        <v>16.61</v>
      </c>
      <c r="CI21" s="10">
        <v>2.73</v>
      </c>
      <c r="CJ21" s="10"/>
      <c r="CK21" s="10"/>
      <c r="CL21" s="10"/>
      <c r="CM21" s="10"/>
      <c r="CN21" s="10"/>
      <c r="CO21" s="10"/>
      <c r="CP21" s="10">
        <v>26035</v>
      </c>
      <c r="CQ21" s="10">
        <v>4250</v>
      </c>
      <c r="CR21" s="10">
        <v>1546</v>
      </c>
      <c r="CS21" s="10">
        <v>2.75</v>
      </c>
      <c r="CT21" s="10">
        <v>0.16</v>
      </c>
      <c r="CU21" s="10">
        <v>16.010000000000002</v>
      </c>
      <c r="CV21" s="10">
        <v>2.61</v>
      </c>
      <c r="CW21" s="10"/>
      <c r="CX21" s="10"/>
      <c r="CY21" s="10"/>
      <c r="CZ21" s="10"/>
      <c r="DA21" s="10"/>
      <c r="DB21" s="10"/>
      <c r="DC21" s="10"/>
      <c r="DD21" s="10"/>
      <c r="DE21" s="10"/>
      <c r="DF21" s="10"/>
      <c r="DG21" s="10"/>
      <c r="DH21" s="10"/>
      <c r="DI21" s="18"/>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56">
        <v>315500</v>
      </c>
      <c r="FD21" s="56">
        <v>48000</v>
      </c>
      <c r="FE21" s="56">
        <v>17500</v>
      </c>
      <c r="FF21" s="56">
        <v>2.6</v>
      </c>
      <c r="FG21" s="56">
        <v>0.15</v>
      </c>
      <c r="FH21" s="56">
        <v>20</v>
      </c>
      <c r="FI21" s="56">
        <v>3.1</v>
      </c>
      <c r="FJ21" s="56"/>
      <c r="FK21" s="56"/>
      <c r="FL21" s="56"/>
      <c r="FM21" s="56"/>
      <c r="FN21" s="56"/>
      <c r="FO21" s="56"/>
    </row>
    <row r="22" spans="1:171" x14ac:dyDescent="0.25">
      <c r="A22" s="25">
        <v>21</v>
      </c>
      <c r="B22" s="27" t="s">
        <v>10</v>
      </c>
      <c r="C22" s="10">
        <v>556</v>
      </c>
      <c r="D22" s="10">
        <v>20</v>
      </c>
      <c r="E22" s="10">
        <v>54</v>
      </c>
      <c r="F22" s="10">
        <v>5</v>
      </c>
      <c r="G22" s="10">
        <v>32.5</v>
      </c>
      <c r="H22" s="10">
        <v>652</v>
      </c>
      <c r="I22" s="10">
        <v>147</v>
      </c>
      <c r="J22" s="10">
        <v>77</v>
      </c>
      <c r="K22" s="10">
        <v>21</v>
      </c>
      <c r="L22" s="10">
        <v>17.899999999999999</v>
      </c>
      <c r="M22" s="10"/>
      <c r="N22" s="10"/>
      <c r="O22" s="10"/>
      <c r="P22" s="10">
        <v>592</v>
      </c>
      <c r="Q22" s="10">
        <v>13</v>
      </c>
      <c r="R22" s="10">
        <v>64</v>
      </c>
      <c r="S22" s="10">
        <v>2</v>
      </c>
      <c r="T22" s="16">
        <v>28.6</v>
      </c>
      <c r="U22" s="10">
        <v>652</v>
      </c>
      <c r="V22" s="10">
        <v>125</v>
      </c>
      <c r="W22" s="10">
        <v>111</v>
      </c>
      <c r="X22" s="10">
        <v>23</v>
      </c>
      <c r="Y22" s="10">
        <v>19.100000000000001</v>
      </c>
      <c r="Z22" s="10"/>
      <c r="AA22" s="10"/>
      <c r="AB22" s="10"/>
      <c r="AC22" s="10">
        <v>489</v>
      </c>
      <c r="AD22" s="10">
        <v>19</v>
      </c>
      <c r="AE22" s="10">
        <v>70</v>
      </c>
      <c r="AF22" s="10">
        <v>3</v>
      </c>
      <c r="AG22" s="10">
        <v>26.4</v>
      </c>
      <c r="AH22" s="10">
        <v>645</v>
      </c>
      <c r="AI22" s="10">
        <v>108</v>
      </c>
      <c r="AJ22" s="10">
        <v>78</v>
      </c>
      <c r="AK22" s="10">
        <v>18</v>
      </c>
      <c r="AL22" s="10">
        <v>16.3</v>
      </c>
      <c r="AM22" s="10"/>
      <c r="AN22" s="10"/>
      <c r="AO22" s="10"/>
      <c r="AP22" s="10">
        <v>541</v>
      </c>
      <c r="AQ22" s="10">
        <v>28</v>
      </c>
      <c r="AR22" s="10">
        <v>68</v>
      </c>
      <c r="AS22" s="10">
        <v>2</v>
      </c>
      <c r="AT22" s="10">
        <v>27.4</v>
      </c>
      <c r="AU22" s="10">
        <v>645</v>
      </c>
      <c r="AV22" s="10">
        <v>103</v>
      </c>
      <c r="AW22" s="10">
        <v>105</v>
      </c>
      <c r="AX22" s="10">
        <v>23</v>
      </c>
      <c r="AY22" s="10">
        <v>17.5</v>
      </c>
      <c r="AZ22" s="10"/>
      <c r="BA22" s="10"/>
      <c r="BB22" s="10"/>
      <c r="BC22" s="10">
        <v>480</v>
      </c>
      <c r="BD22" s="10">
        <v>21</v>
      </c>
      <c r="BE22" s="10">
        <v>55</v>
      </c>
      <c r="BF22" s="10">
        <v>0</v>
      </c>
      <c r="BG22" s="10">
        <v>26.5</v>
      </c>
      <c r="BH22" s="10">
        <v>383</v>
      </c>
      <c r="BI22" s="10">
        <v>167</v>
      </c>
      <c r="BJ22" s="10">
        <v>110</v>
      </c>
      <c r="BK22" s="10">
        <v>19</v>
      </c>
      <c r="BL22" s="10">
        <v>16</v>
      </c>
      <c r="BM22" s="10"/>
      <c r="BN22" s="10"/>
      <c r="BO22" s="10"/>
      <c r="BP22" s="10">
        <v>578</v>
      </c>
      <c r="BQ22" s="10">
        <v>16</v>
      </c>
      <c r="BR22" s="10">
        <v>42</v>
      </c>
      <c r="BS22" s="10">
        <v>0</v>
      </c>
      <c r="BT22" s="10">
        <v>28</v>
      </c>
      <c r="BU22" s="10">
        <v>438</v>
      </c>
      <c r="BV22" s="10">
        <v>126</v>
      </c>
      <c r="BW22" s="10">
        <v>125</v>
      </c>
      <c r="BX22" s="10">
        <v>18</v>
      </c>
      <c r="BY22" s="10">
        <v>18.600000000000001</v>
      </c>
      <c r="BZ22" s="10"/>
      <c r="CA22" s="10"/>
      <c r="CB22" s="10"/>
      <c r="CC22" s="10">
        <v>468</v>
      </c>
      <c r="CD22" s="10">
        <v>16</v>
      </c>
      <c r="CE22" s="10">
        <v>40</v>
      </c>
      <c r="CF22" s="10">
        <v>17</v>
      </c>
      <c r="CG22" s="10">
        <v>27.2</v>
      </c>
      <c r="CH22" s="10">
        <v>342</v>
      </c>
      <c r="CI22" s="10">
        <v>113</v>
      </c>
      <c r="CJ22" s="10">
        <v>160</v>
      </c>
      <c r="CK22" s="10">
        <v>21</v>
      </c>
      <c r="CL22" s="10">
        <v>15.1</v>
      </c>
      <c r="CM22" s="10"/>
      <c r="CN22" s="10"/>
      <c r="CO22" s="10"/>
      <c r="CP22" s="10">
        <v>449</v>
      </c>
      <c r="CQ22" s="10">
        <v>11</v>
      </c>
      <c r="CR22" s="10">
        <v>35</v>
      </c>
      <c r="CS22" s="10">
        <v>17</v>
      </c>
      <c r="CT22" s="10">
        <v>25.8</v>
      </c>
      <c r="CU22" s="10">
        <v>321</v>
      </c>
      <c r="CV22" s="10">
        <v>123</v>
      </c>
      <c r="CW22" s="10">
        <v>209</v>
      </c>
      <c r="CX22" s="10">
        <v>20</v>
      </c>
      <c r="CY22" s="10">
        <v>16</v>
      </c>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56">
        <v>6540</v>
      </c>
      <c r="FD22" s="56">
        <v>175</v>
      </c>
      <c r="FE22" s="56">
        <v>725</v>
      </c>
      <c r="FF22" s="56">
        <v>70</v>
      </c>
      <c r="FG22" s="56">
        <v>60</v>
      </c>
      <c r="FH22" s="56">
        <v>7380</v>
      </c>
      <c r="FI22" s="56">
        <v>2475</v>
      </c>
      <c r="FJ22" s="56">
        <v>875</v>
      </c>
      <c r="FK22" s="56">
        <v>20</v>
      </c>
      <c r="FL22" s="56">
        <v>18</v>
      </c>
      <c r="FM22" s="56"/>
      <c r="FN22" s="56"/>
      <c r="FO22" s="56"/>
    </row>
    <row r="23" spans="1:171" x14ac:dyDescent="0.25">
      <c r="A23" s="25">
        <v>22</v>
      </c>
      <c r="B23" s="27" t="s">
        <v>229</v>
      </c>
      <c r="C23" s="10">
        <v>133</v>
      </c>
      <c r="D23" s="10">
        <v>120</v>
      </c>
      <c r="E23" s="10">
        <v>82</v>
      </c>
      <c r="F23" s="10">
        <v>970</v>
      </c>
      <c r="G23" s="10">
        <v>106</v>
      </c>
      <c r="H23" s="10">
        <v>4.45</v>
      </c>
      <c r="I23" s="10">
        <v>1543</v>
      </c>
      <c r="J23" s="10">
        <v>73</v>
      </c>
      <c r="K23" s="10">
        <v>19.239999999999998</v>
      </c>
      <c r="L23" s="10"/>
      <c r="M23" s="10"/>
      <c r="N23" s="10"/>
      <c r="O23" s="10"/>
      <c r="P23" s="10">
        <v>258</v>
      </c>
      <c r="Q23" s="10">
        <v>106</v>
      </c>
      <c r="R23" s="10">
        <v>81</v>
      </c>
      <c r="S23" s="10">
        <v>1137</v>
      </c>
      <c r="T23" s="16">
        <v>104</v>
      </c>
      <c r="U23" s="10">
        <v>4.45</v>
      </c>
      <c r="V23" s="10">
        <v>1845</v>
      </c>
      <c r="W23" s="10">
        <v>80</v>
      </c>
      <c r="X23" s="10">
        <v>17.559999999999999</v>
      </c>
      <c r="Y23" s="10"/>
      <c r="Z23" s="10"/>
      <c r="AA23" s="10"/>
      <c r="AB23" s="10"/>
      <c r="AC23" s="10">
        <v>233</v>
      </c>
      <c r="AD23" s="10">
        <v>106</v>
      </c>
      <c r="AE23" s="10">
        <v>55</v>
      </c>
      <c r="AF23" s="10">
        <v>580</v>
      </c>
      <c r="AG23" s="10">
        <v>52</v>
      </c>
      <c r="AH23" s="10">
        <v>4.45</v>
      </c>
      <c r="AI23" s="10">
        <v>1647</v>
      </c>
      <c r="AJ23" s="10">
        <v>92</v>
      </c>
      <c r="AK23" s="10">
        <v>15.27</v>
      </c>
      <c r="AL23" s="10"/>
      <c r="AM23" s="10"/>
      <c r="AN23" s="10"/>
      <c r="AO23" s="10"/>
      <c r="AP23" s="10">
        <v>234</v>
      </c>
      <c r="AQ23" s="10">
        <v>103</v>
      </c>
      <c r="AR23" s="10">
        <v>102</v>
      </c>
      <c r="AS23" s="10">
        <v>1265</v>
      </c>
      <c r="AT23" s="10">
        <v>81</v>
      </c>
      <c r="AU23" s="10">
        <v>4.45</v>
      </c>
      <c r="AV23" s="10">
        <v>2041</v>
      </c>
      <c r="AW23" s="10">
        <v>89</v>
      </c>
      <c r="AX23" s="10">
        <v>15.78</v>
      </c>
      <c r="AY23" s="10">
        <v>224</v>
      </c>
      <c r="AZ23" s="10">
        <v>19</v>
      </c>
      <c r="BA23" s="10">
        <v>17.809999999999999</v>
      </c>
      <c r="BB23" s="10"/>
      <c r="BC23" s="10">
        <v>228</v>
      </c>
      <c r="BD23" s="10">
        <v>101</v>
      </c>
      <c r="BE23" s="10">
        <v>385</v>
      </c>
      <c r="BF23" s="10">
        <v>579</v>
      </c>
      <c r="BG23" s="10">
        <v>55</v>
      </c>
      <c r="BH23" s="10">
        <v>4.45</v>
      </c>
      <c r="BI23" s="10">
        <v>1714</v>
      </c>
      <c r="BJ23" s="10">
        <v>90</v>
      </c>
      <c r="BK23" s="10">
        <v>17.25</v>
      </c>
      <c r="BL23" s="10">
        <v>468</v>
      </c>
      <c r="BM23" s="10">
        <v>25</v>
      </c>
      <c r="BN23" s="10">
        <v>7.96</v>
      </c>
      <c r="BP23" s="10">
        <v>235</v>
      </c>
      <c r="BQ23" s="10">
        <v>100</v>
      </c>
      <c r="BR23" s="10">
        <v>46</v>
      </c>
      <c r="BS23" s="10">
        <v>496</v>
      </c>
      <c r="BT23" s="10">
        <v>52</v>
      </c>
      <c r="BU23" s="10">
        <v>4.45</v>
      </c>
      <c r="BV23" s="10">
        <v>1521</v>
      </c>
      <c r="BW23" s="10">
        <v>85</v>
      </c>
      <c r="BX23" s="10">
        <v>19.28</v>
      </c>
      <c r="BY23" s="10">
        <v>305</v>
      </c>
      <c r="BZ23" s="10">
        <v>17</v>
      </c>
      <c r="CA23" s="10">
        <v>11.98</v>
      </c>
      <c r="CB23" s="10"/>
      <c r="CC23" s="10">
        <v>222</v>
      </c>
      <c r="CD23" s="10">
        <v>106</v>
      </c>
      <c r="CE23" s="10">
        <v>77</v>
      </c>
      <c r="CF23" s="10">
        <v>590</v>
      </c>
      <c r="CG23" s="10">
        <v>55</v>
      </c>
      <c r="CH23" s="10">
        <v>4.45</v>
      </c>
      <c r="CI23" s="10">
        <v>2014</v>
      </c>
      <c r="CJ23" s="10">
        <v>96</v>
      </c>
      <c r="CK23" s="10">
        <v>17.07</v>
      </c>
      <c r="CL23" s="10">
        <v>564</v>
      </c>
      <c r="CM23" s="10">
        <v>27</v>
      </c>
      <c r="CN23" s="10">
        <v>7.41</v>
      </c>
      <c r="CO23" s="10"/>
      <c r="CP23" s="10">
        <v>225</v>
      </c>
      <c r="CQ23" s="10">
        <v>111</v>
      </c>
      <c r="CR23" s="10">
        <v>75</v>
      </c>
      <c r="CS23" s="10">
        <v>508</v>
      </c>
      <c r="CT23" s="10">
        <v>44</v>
      </c>
      <c r="CU23" s="10">
        <v>4.45</v>
      </c>
      <c r="CV23" s="10">
        <v>2419</v>
      </c>
      <c r="CW23" s="10">
        <v>121</v>
      </c>
      <c r="CX23" s="10">
        <v>13.54</v>
      </c>
      <c r="CY23" s="10">
        <v>473</v>
      </c>
      <c r="CZ23" s="10">
        <v>24</v>
      </c>
      <c r="DA23" s="10">
        <v>8.33</v>
      </c>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56">
        <v>3550</v>
      </c>
      <c r="FD23" s="56">
        <v>1400</v>
      </c>
      <c r="FE23" s="56">
        <v>1050</v>
      </c>
      <c r="FF23" s="56">
        <v>9100</v>
      </c>
      <c r="FG23" s="56"/>
      <c r="FH23" s="56">
        <v>4.45</v>
      </c>
      <c r="FI23" s="56">
        <v>22600</v>
      </c>
      <c r="FJ23" s="56">
        <v>94</v>
      </c>
      <c r="FK23" s="56">
        <v>14.25</v>
      </c>
      <c r="FL23" s="56">
        <v>4500</v>
      </c>
      <c r="FM23" s="56">
        <v>25</v>
      </c>
      <c r="FN23" s="56">
        <v>10</v>
      </c>
      <c r="FO23" s="56"/>
    </row>
    <row r="24" spans="1:171" x14ac:dyDescent="0.25">
      <c r="A24" s="25">
        <v>23</v>
      </c>
      <c r="B24" s="27" t="s">
        <v>11</v>
      </c>
      <c r="C24" s="10">
        <v>49</v>
      </c>
      <c r="D24" s="10">
        <v>70.69</v>
      </c>
      <c r="E24" s="10">
        <v>12</v>
      </c>
      <c r="F24" s="10">
        <v>0</v>
      </c>
      <c r="G24" s="10">
        <v>3036</v>
      </c>
      <c r="H24" s="10">
        <v>145</v>
      </c>
      <c r="I24" s="10">
        <v>100</v>
      </c>
      <c r="J24" s="10">
        <v>95.87</v>
      </c>
      <c r="K24" s="10">
        <v>95</v>
      </c>
      <c r="L24" s="10">
        <v>95</v>
      </c>
      <c r="M24" s="10">
        <v>165</v>
      </c>
      <c r="N24" s="10"/>
      <c r="O24" s="10"/>
      <c r="P24" s="10">
        <v>73</v>
      </c>
      <c r="Q24" s="10">
        <v>73.27</v>
      </c>
      <c r="R24" s="10">
        <v>5</v>
      </c>
      <c r="S24" s="10">
        <v>50</v>
      </c>
      <c r="T24" s="16">
        <v>2772</v>
      </c>
      <c r="U24" s="10">
        <v>121</v>
      </c>
      <c r="V24" s="10">
        <v>100</v>
      </c>
      <c r="W24" s="10">
        <v>92.12</v>
      </c>
      <c r="X24" s="10">
        <v>99</v>
      </c>
      <c r="Y24" s="10">
        <v>100</v>
      </c>
      <c r="Z24" s="10">
        <v>168</v>
      </c>
      <c r="AA24" s="10" t="s">
        <v>499</v>
      </c>
      <c r="AB24" s="10"/>
      <c r="AC24" s="10">
        <v>53</v>
      </c>
      <c r="AD24" s="10">
        <v>73.010000000000005</v>
      </c>
      <c r="AE24" s="10">
        <v>0</v>
      </c>
      <c r="AF24" s="10">
        <v>40</v>
      </c>
      <c r="AG24" s="10">
        <v>2191</v>
      </c>
      <c r="AH24" s="10">
        <v>122</v>
      </c>
      <c r="AI24" s="10">
        <v>100</v>
      </c>
      <c r="AJ24" s="10">
        <v>97.3</v>
      </c>
      <c r="AK24" s="10">
        <v>99</v>
      </c>
      <c r="AL24" s="10">
        <v>100</v>
      </c>
      <c r="AM24" s="10">
        <v>176</v>
      </c>
      <c r="AN24" s="10"/>
      <c r="AO24" s="10"/>
      <c r="AP24" s="10">
        <v>103</v>
      </c>
      <c r="AQ24" s="10">
        <v>72.11</v>
      </c>
      <c r="AR24" s="10">
        <v>20</v>
      </c>
      <c r="AS24" s="10">
        <v>25</v>
      </c>
      <c r="AT24" s="10">
        <v>2606</v>
      </c>
      <c r="AU24" s="10">
        <v>113</v>
      </c>
      <c r="AV24" s="10">
        <v>100</v>
      </c>
      <c r="AW24" s="10">
        <v>94.79</v>
      </c>
      <c r="AX24" s="10">
        <v>96</v>
      </c>
      <c r="AY24" s="10">
        <v>98</v>
      </c>
      <c r="AZ24" s="10">
        <v>169</v>
      </c>
      <c r="BA24" s="10"/>
      <c r="BB24" s="10"/>
      <c r="BC24" s="10">
        <v>77</v>
      </c>
      <c r="BD24" s="10">
        <v>72.37</v>
      </c>
      <c r="BE24" s="10">
        <v>0</v>
      </c>
      <c r="BF24" s="10">
        <v>40</v>
      </c>
      <c r="BG24" s="10">
        <v>2451</v>
      </c>
      <c r="BH24" s="10">
        <v>129</v>
      </c>
      <c r="BI24" s="10">
        <v>100</v>
      </c>
      <c r="BJ24" s="10">
        <v>94.5</v>
      </c>
      <c r="BK24" s="10">
        <v>96</v>
      </c>
      <c r="BL24" s="10">
        <v>98</v>
      </c>
      <c r="BM24" s="10">
        <v>181</v>
      </c>
      <c r="BP24" s="10">
        <v>70</v>
      </c>
      <c r="BQ24" s="10">
        <v>72.39</v>
      </c>
      <c r="BR24" s="10">
        <v>0</v>
      </c>
      <c r="BS24" s="10">
        <v>0</v>
      </c>
      <c r="BT24" s="10">
        <v>2458</v>
      </c>
      <c r="BU24" s="10">
        <v>137</v>
      </c>
      <c r="BV24" s="10">
        <v>100</v>
      </c>
      <c r="BW24" s="10">
        <v>95.13</v>
      </c>
      <c r="BX24" s="10">
        <v>98</v>
      </c>
      <c r="BY24" s="10">
        <v>96</v>
      </c>
      <c r="BZ24" s="10">
        <v>152</v>
      </c>
      <c r="CA24" s="10"/>
      <c r="CB24" s="10"/>
      <c r="CC24" s="10">
        <v>80</v>
      </c>
      <c r="CD24" s="10">
        <v>72.25</v>
      </c>
      <c r="CE24" s="10">
        <v>25</v>
      </c>
      <c r="CF24" s="10">
        <v>0</v>
      </c>
      <c r="CG24" s="10">
        <v>3871</v>
      </c>
      <c r="CH24" s="10">
        <v>184</v>
      </c>
      <c r="CI24" s="10">
        <v>100</v>
      </c>
      <c r="CJ24" s="10">
        <v>92.8</v>
      </c>
      <c r="CK24" s="10">
        <v>96</v>
      </c>
      <c r="CL24" s="10">
        <v>100</v>
      </c>
      <c r="CM24" s="10">
        <v>143</v>
      </c>
      <c r="CN24" s="10"/>
      <c r="CO24" s="10"/>
      <c r="CP24" s="10">
        <v>67</v>
      </c>
      <c r="CQ24" s="10">
        <v>72.150000000000006</v>
      </c>
      <c r="CR24" s="10">
        <v>25</v>
      </c>
      <c r="CS24" s="10">
        <v>0</v>
      </c>
      <c r="CT24" s="10">
        <v>2429</v>
      </c>
      <c r="CU24" s="10">
        <v>121</v>
      </c>
      <c r="CV24" s="10">
        <v>100</v>
      </c>
      <c r="CW24" s="10">
        <v>94.52</v>
      </c>
      <c r="CX24" s="10">
        <v>95</v>
      </c>
      <c r="CY24" s="10">
        <v>100</v>
      </c>
      <c r="CZ24" s="10">
        <v>159</v>
      </c>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56">
        <v>500</v>
      </c>
      <c r="FD24" s="56">
        <v>70.5</v>
      </c>
      <c r="FE24" s="56">
        <v>5</v>
      </c>
      <c r="FF24" s="56">
        <v>35</v>
      </c>
      <c r="FG24" s="56">
        <v>42000</v>
      </c>
      <c r="FH24" s="56">
        <v>177</v>
      </c>
      <c r="FI24" s="56">
        <v>97</v>
      </c>
      <c r="FJ24" s="56">
        <v>95</v>
      </c>
      <c r="FK24" s="56">
        <v>95</v>
      </c>
      <c r="FL24" s="56">
        <v>95</v>
      </c>
      <c r="FM24" s="56">
        <v>150</v>
      </c>
      <c r="FN24" s="56"/>
      <c r="FO24" s="56"/>
    </row>
    <row r="25" spans="1:171" x14ac:dyDescent="0.25">
      <c r="A25" s="25">
        <v>24</v>
      </c>
      <c r="B25" s="27" t="s">
        <v>12</v>
      </c>
      <c r="C25" s="10">
        <v>0</v>
      </c>
      <c r="D25" s="10">
        <v>27</v>
      </c>
      <c r="E25" s="10">
        <v>0</v>
      </c>
      <c r="F25" s="10">
        <v>84.7</v>
      </c>
      <c r="G25" s="10">
        <v>0.09</v>
      </c>
      <c r="H25" s="10">
        <v>0</v>
      </c>
      <c r="I25" s="10">
        <v>5</v>
      </c>
      <c r="J25" s="10"/>
      <c r="K25" s="10"/>
      <c r="L25" s="10"/>
      <c r="M25" s="10"/>
      <c r="N25" s="10"/>
      <c r="O25" s="10"/>
      <c r="P25" s="10">
        <v>0</v>
      </c>
      <c r="Q25" s="10">
        <v>49</v>
      </c>
      <c r="R25" s="10">
        <v>0</v>
      </c>
      <c r="S25" s="10">
        <v>84.7</v>
      </c>
      <c r="T25" s="16">
        <v>0.18099999999999999</v>
      </c>
      <c r="U25" s="10">
        <v>0</v>
      </c>
      <c r="V25" s="10">
        <v>6</v>
      </c>
      <c r="W25" s="10"/>
      <c r="X25" s="10"/>
      <c r="Y25" s="10"/>
      <c r="Z25" s="10"/>
      <c r="AA25" s="10"/>
      <c r="AB25" s="10"/>
      <c r="AC25" s="10">
        <v>0</v>
      </c>
      <c r="AD25" s="10">
        <v>33</v>
      </c>
      <c r="AE25" s="10">
        <v>0</v>
      </c>
      <c r="AF25" s="10">
        <v>84.7</v>
      </c>
      <c r="AG25" s="10">
        <v>0.66</v>
      </c>
      <c r="AH25" s="10">
        <v>0</v>
      </c>
      <c r="AI25" s="10">
        <v>11</v>
      </c>
      <c r="AJ25" s="10"/>
      <c r="AK25" s="10"/>
      <c r="AL25" s="10"/>
      <c r="AM25" s="10"/>
      <c r="AN25" s="10"/>
      <c r="AO25" s="10"/>
      <c r="AP25" s="10">
        <v>0</v>
      </c>
      <c r="AQ25" s="10">
        <v>39</v>
      </c>
      <c r="AR25" s="10">
        <v>0</v>
      </c>
      <c r="AS25" s="10">
        <v>84.7</v>
      </c>
      <c r="AT25" s="10">
        <v>1.38</v>
      </c>
      <c r="AU25" s="10">
        <v>0</v>
      </c>
      <c r="AV25" s="10">
        <v>11</v>
      </c>
      <c r="AW25" s="10"/>
      <c r="AX25" s="10"/>
      <c r="AY25" s="10"/>
      <c r="AZ25" s="10"/>
      <c r="BA25" s="10"/>
      <c r="BB25" s="10"/>
      <c r="BC25" s="10">
        <v>0</v>
      </c>
      <c r="BD25" s="10">
        <v>30</v>
      </c>
      <c r="BE25" s="10">
        <v>0</v>
      </c>
      <c r="BF25" s="10">
        <v>84.7</v>
      </c>
      <c r="BG25" s="10">
        <v>0.28999999999999998</v>
      </c>
      <c r="BH25" s="10">
        <v>0</v>
      </c>
      <c r="BI25" s="10">
        <v>8</v>
      </c>
      <c r="BJ25" s="10"/>
      <c r="BK25" s="10"/>
      <c r="BL25" s="10"/>
      <c r="BM25" s="10"/>
      <c r="BN25" s="10"/>
      <c r="BO25" s="10"/>
      <c r="BP25" s="10">
        <v>0</v>
      </c>
      <c r="BQ25" s="10">
        <v>31</v>
      </c>
      <c r="BR25" s="10">
        <v>0</v>
      </c>
      <c r="BS25" s="10">
        <v>82.3</v>
      </c>
      <c r="BT25" s="38">
        <v>0.59</v>
      </c>
      <c r="BU25" s="10">
        <v>0</v>
      </c>
      <c r="BV25" s="10">
        <v>8</v>
      </c>
      <c r="BW25" s="10"/>
      <c r="BX25" s="10"/>
      <c r="BY25" s="10"/>
      <c r="BZ25" s="10"/>
      <c r="CA25" s="10"/>
      <c r="CB25" s="10"/>
      <c r="CC25" s="10">
        <v>0</v>
      </c>
      <c r="CD25" s="10">
        <v>30</v>
      </c>
      <c r="CE25" s="10">
        <v>0</v>
      </c>
      <c r="CF25" s="10">
        <v>82.8</v>
      </c>
      <c r="CG25" s="10">
        <v>1.0860000000000001</v>
      </c>
      <c r="CH25" s="10">
        <v>0</v>
      </c>
      <c r="CI25" s="10">
        <v>15</v>
      </c>
      <c r="CJ25" s="10"/>
      <c r="CK25" s="10"/>
      <c r="CL25" s="10"/>
      <c r="CM25" s="10"/>
      <c r="CN25" s="10"/>
      <c r="CO25" s="10"/>
      <c r="CP25" s="10">
        <v>0</v>
      </c>
      <c r="CQ25" s="10">
        <v>46</v>
      </c>
      <c r="CR25" s="10">
        <v>0</v>
      </c>
      <c r="CS25" s="10">
        <v>82.8</v>
      </c>
      <c r="CT25" s="10">
        <v>1.68</v>
      </c>
      <c r="CU25" s="10">
        <v>0</v>
      </c>
      <c r="CV25" s="10">
        <v>24</v>
      </c>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38"/>
      <c r="EG25" s="38"/>
      <c r="EH25" s="10"/>
      <c r="EI25" s="10"/>
      <c r="EJ25" s="10"/>
      <c r="EK25" s="10"/>
      <c r="EL25" s="10"/>
      <c r="EM25" s="10"/>
      <c r="EN25" s="10"/>
      <c r="EO25" s="10"/>
      <c r="EP25" s="10"/>
      <c r="EQ25" s="10"/>
      <c r="ER25" s="10"/>
      <c r="ES25" s="10"/>
      <c r="ET25" s="10"/>
      <c r="EU25" s="10"/>
      <c r="EV25" s="10"/>
      <c r="EW25" s="10"/>
      <c r="EX25" s="10"/>
      <c r="EY25" s="10"/>
      <c r="EZ25" s="10"/>
      <c r="FA25" s="10"/>
      <c r="FB25" s="10"/>
      <c r="FC25" s="56">
        <v>5</v>
      </c>
      <c r="FD25" s="56">
        <v>500</v>
      </c>
      <c r="FE25" s="56">
        <v>5</v>
      </c>
      <c r="FF25" s="56">
        <v>94</v>
      </c>
      <c r="FG25" s="56">
        <v>5</v>
      </c>
      <c r="FH25" s="56">
        <v>1</v>
      </c>
      <c r="FI25" s="56">
        <v>85</v>
      </c>
      <c r="FJ25" s="56"/>
      <c r="FK25" s="56"/>
      <c r="FL25" s="56"/>
      <c r="FM25" s="56"/>
      <c r="FN25" s="56"/>
      <c r="FO25" s="56"/>
    </row>
    <row r="26" spans="1:171" x14ac:dyDescent="0.25">
      <c r="A26" s="25">
        <v>25</v>
      </c>
      <c r="B26" s="27" t="s">
        <v>13</v>
      </c>
      <c r="C26" s="10">
        <v>493</v>
      </c>
      <c r="D26" s="10">
        <v>15</v>
      </c>
      <c r="E26" s="10">
        <v>0.76</v>
      </c>
      <c r="F26" s="10">
        <v>0.77</v>
      </c>
      <c r="G26" s="10">
        <v>2200</v>
      </c>
      <c r="H26" s="10">
        <v>1037</v>
      </c>
      <c r="I26" s="10">
        <v>0</v>
      </c>
      <c r="J26" s="10">
        <v>10</v>
      </c>
      <c r="K26" s="10"/>
      <c r="L26" s="10"/>
      <c r="M26" s="10"/>
      <c r="N26" s="10"/>
      <c r="O26" s="10"/>
      <c r="P26" s="10">
        <v>351</v>
      </c>
      <c r="Q26" s="10">
        <v>2</v>
      </c>
      <c r="R26" s="10">
        <v>58.38</v>
      </c>
      <c r="S26" s="10">
        <v>58.28</v>
      </c>
      <c r="T26" s="16">
        <v>2200</v>
      </c>
      <c r="U26" s="10">
        <v>598</v>
      </c>
      <c r="V26" s="10">
        <v>0</v>
      </c>
      <c r="W26" s="10">
        <v>2</v>
      </c>
      <c r="X26" s="10"/>
      <c r="Y26" s="10"/>
      <c r="Z26" s="10"/>
      <c r="AA26" s="10"/>
      <c r="AB26" s="10"/>
      <c r="AC26" s="10">
        <v>265</v>
      </c>
      <c r="AD26" s="10">
        <v>0</v>
      </c>
      <c r="AE26" s="10">
        <v>62.77</v>
      </c>
      <c r="AF26" s="10">
        <v>60.39</v>
      </c>
      <c r="AG26" s="10">
        <v>2200</v>
      </c>
      <c r="AH26" s="10">
        <v>349</v>
      </c>
      <c r="AI26" s="10">
        <v>0</v>
      </c>
      <c r="AJ26" s="10">
        <v>85</v>
      </c>
      <c r="AK26" s="10"/>
      <c r="AL26" s="10"/>
      <c r="AM26" s="10"/>
      <c r="AN26" s="10"/>
      <c r="AO26" s="10"/>
      <c r="AP26" s="10">
        <v>337</v>
      </c>
      <c r="AQ26" s="10">
        <v>1566</v>
      </c>
      <c r="AR26" s="10">
        <v>65.17</v>
      </c>
      <c r="AS26" s="10">
        <v>62.82</v>
      </c>
      <c r="AT26" s="10">
        <v>45471</v>
      </c>
      <c r="AU26" s="10">
        <v>444</v>
      </c>
      <c r="AV26" s="10">
        <v>0</v>
      </c>
      <c r="AW26" s="10">
        <v>36</v>
      </c>
      <c r="AX26" s="10"/>
      <c r="AY26" s="10"/>
      <c r="AZ26" s="10"/>
      <c r="BA26" s="10"/>
      <c r="BB26" s="10"/>
      <c r="BC26" s="10">
        <v>348</v>
      </c>
      <c r="BD26" s="10">
        <v>175</v>
      </c>
      <c r="BE26" s="10">
        <v>68.290000000000006</v>
      </c>
      <c r="BF26" s="10">
        <v>65.930000000000007</v>
      </c>
      <c r="BG26" s="10">
        <v>2200</v>
      </c>
      <c r="BH26" s="10">
        <v>1717</v>
      </c>
      <c r="BI26" s="10">
        <v>0</v>
      </c>
      <c r="BJ26" s="10">
        <v>8</v>
      </c>
      <c r="BK26" s="10"/>
      <c r="BL26" s="10"/>
      <c r="BM26" s="10"/>
      <c r="BN26" s="10"/>
      <c r="BO26" s="10"/>
      <c r="BP26" s="10">
        <v>306</v>
      </c>
      <c r="BQ26" s="10">
        <v>13</v>
      </c>
      <c r="BR26" s="10">
        <v>81.98</v>
      </c>
      <c r="BS26" s="10">
        <v>80.09</v>
      </c>
      <c r="BT26" s="10">
        <v>49519</v>
      </c>
      <c r="BU26" s="10">
        <v>0</v>
      </c>
      <c r="BV26" s="10">
        <v>0</v>
      </c>
      <c r="BW26" s="10">
        <v>29</v>
      </c>
      <c r="BX26" s="10"/>
      <c r="BY26" s="10"/>
      <c r="BZ26" s="10"/>
      <c r="CA26" s="10"/>
      <c r="CB26" s="10"/>
      <c r="CC26" s="10">
        <v>268</v>
      </c>
      <c r="CD26" s="10">
        <v>95</v>
      </c>
      <c r="CE26" s="10">
        <v>92.64</v>
      </c>
      <c r="CF26" s="10">
        <v>92.77</v>
      </c>
      <c r="CG26" s="10">
        <v>2200</v>
      </c>
      <c r="CH26" s="10">
        <v>901</v>
      </c>
      <c r="CI26" s="10">
        <v>0</v>
      </c>
      <c r="CJ26" s="10">
        <v>31</v>
      </c>
      <c r="CK26" s="10"/>
      <c r="CL26" s="10"/>
      <c r="CM26" s="10"/>
      <c r="CN26" s="10"/>
      <c r="CO26" s="10"/>
      <c r="CP26" s="10">
        <v>605</v>
      </c>
      <c r="CQ26" s="10">
        <v>759</v>
      </c>
      <c r="CR26" s="10">
        <v>95.03</v>
      </c>
      <c r="CS26" s="10">
        <v>95.09</v>
      </c>
      <c r="CT26" s="10">
        <v>41992</v>
      </c>
      <c r="CU26" s="10">
        <v>668</v>
      </c>
      <c r="CV26" s="10">
        <v>0</v>
      </c>
      <c r="CW26" s="10">
        <v>54</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56">
        <v>7500</v>
      </c>
      <c r="FD26" s="56">
        <v>4000</v>
      </c>
      <c r="FE26" s="56">
        <v>97.22</v>
      </c>
      <c r="FF26" s="56">
        <v>97.28</v>
      </c>
      <c r="FG26" s="56">
        <v>75000</v>
      </c>
      <c r="FH26" s="56">
        <v>60000</v>
      </c>
      <c r="FI26" s="56">
        <v>0</v>
      </c>
      <c r="FJ26" s="56">
        <v>500</v>
      </c>
      <c r="FK26" s="56"/>
      <c r="FL26" s="56"/>
      <c r="FM26" s="56"/>
      <c r="FN26" s="56"/>
      <c r="FO26" s="56"/>
    </row>
    <row r="27" spans="1:171" x14ac:dyDescent="0.25">
      <c r="A27" s="25">
        <v>26</v>
      </c>
      <c r="B27" s="27" t="s">
        <v>187</v>
      </c>
      <c r="C27" s="10">
        <v>204</v>
      </c>
      <c r="D27" s="10">
        <v>102</v>
      </c>
      <c r="E27" s="10">
        <v>306</v>
      </c>
      <c r="F27" s="10">
        <v>14.6</v>
      </c>
      <c r="G27" s="10">
        <v>0</v>
      </c>
      <c r="H27" s="10">
        <v>25</v>
      </c>
      <c r="I27" s="10">
        <v>1.2</v>
      </c>
      <c r="J27" s="10"/>
      <c r="K27" s="10"/>
      <c r="L27" s="10"/>
      <c r="M27" s="10"/>
      <c r="N27" s="10"/>
      <c r="O27" s="10"/>
      <c r="P27" s="10">
        <v>167</v>
      </c>
      <c r="Q27" s="10">
        <v>81</v>
      </c>
      <c r="R27" s="10">
        <v>248</v>
      </c>
      <c r="S27" s="10">
        <v>10.8</v>
      </c>
      <c r="T27" s="16">
        <v>0</v>
      </c>
      <c r="U27" s="10">
        <v>23</v>
      </c>
      <c r="V27" s="10">
        <v>1</v>
      </c>
      <c r="W27" s="10"/>
      <c r="X27" s="10"/>
      <c r="Y27" s="10"/>
      <c r="Z27" s="10"/>
      <c r="AA27" s="10"/>
      <c r="AB27" s="10"/>
      <c r="AC27" s="10">
        <v>200</v>
      </c>
      <c r="AD27" s="10">
        <v>88</v>
      </c>
      <c r="AE27" s="10">
        <v>288</v>
      </c>
      <c r="AF27" s="10">
        <v>16</v>
      </c>
      <c r="AG27" s="10">
        <v>0</v>
      </c>
      <c r="AH27" s="10">
        <v>32</v>
      </c>
      <c r="AI27" s="10">
        <v>1.8</v>
      </c>
      <c r="AJ27" s="10"/>
      <c r="AK27" s="10"/>
      <c r="AL27" s="10"/>
      <c r="AM27" s="10"/>
      <c r="AN27" s="10"/>
      <c r="AO27" s="10"/>
      <c r="AP27" s="10">
        <v>235</v>
      </c>
      <c r="AQ27" s="10">
        <v>108</v>
      </c>
      <c r="AR27" s="10">
        <v>343</v>
      </c>
      <c r="AS27" s="10">
        <v>14.9</v>
      </c>
      <c r="AT27" s="15">
        <v>0</v>
      </c>
      <c r="AU27" s="10">
        <v>29</v>
      </c>
      <c r="AV27" s="10">
        <v>1.3</v>
      </c>
      <c r="AW27" s="10"/>
      <c r="AX27" s="10"/>
      <c r="AY27" s="10"/>
      <c r="AZ27" s="10"/>
      <c r="BA27" s="10"/>
      <c r="BB27" s="10"/>
      <c r="BC27" s="10">
        <v>189</v>
      </c>
      <c r="BD27" s="10">
        <v>85</v>
      </c>
      <c r="BE27" s="10">
        <v>274</v>
      </c>
      <c r="BF27" s="10">
        <v>14.4</v>
      </c>
      <c r="BG27" s="10">
        <v>0</v>
      </c>
      <c r="BH27" s="10">
        <v>31</v>
      </c>
      <c r="BI27" s="10">
        <v>1.6</v>
      </c>
      <c r="BJ27" s="10"/>
      <c r="BK27" s="10"/>
      <c r="BL27" s="10"/>
      <c r="BM27" s="10"/>
      <c r="BN27" s="10"/>
      <c r="BO27" s="10"/>
      <c r="BP27" s="10">
        <v>166</v>
      </c>
      <c r="BQ27" s="10">
        <v>74</v>
      </c>
      <c r="BR27" s="10">
        <v>240</v>
      </c>
      <c r="BS27" s="10">
        <v>13.3</v>
      </c>
      <c r="BT27" s="10">
        <v>0</v>
      </c>
      <c r="BU27" s="10">
        <v>25</v>
      </c>
      <c r="BV27" s="10">
        <v>1.4</v>
      </c>
      <c r="BW27" s="10"/>
      <c r="BX27" s="10"/>
      <c r="BY27" s="10"/>
      <c r="BZ27" s="10"/>
      <c r="CA27" s="10"/>
      <c r="CB27" s="10"/>
      <c r="CC27" s="10">
        <v>229</v>
      </c>
      <c r="CD27" s="10">
        <v>106</v>
      </c>
      <c r="CE27" s="10">
        <v>335</v>
      </c>
      <c r="CF27" s="51">
        <v>16</v>
      </c>
      <c r="CG27" s="10">
        <v>0</v>
      </c>
      <c r="CH27" s="10">
        <v>38</v>
      </c>
      <c r="CI27" s="10">
        <v>1.8</v>
      </c>
      <c r="CJ27" s="10"/>
      <c r="CK27" s="10"/>
      <c r="CL27" s="10"/>
      <c r="CM27" s="10"/>
      <c r="CN27" s="10"/>
      <c r="CO27" s="10"/>
      <c r="CP27" s="10">
        <v>215</v>
      </c>
      <c r="CQ27" s="10">
        <v>98</v>
      </c>
      <c r="CR27" s="10">
        <v>313</v>
      </c>
      <c r="CS27" s="10">
        <v>15.7</v>
      </c>
      <c r="CT27" s="10">
        <v>0</v>
      </c>
      <c r="CU27" s="10">
        <v>31</v>
      </c>
      <c r="CV27" s="10">
        <v>1.6</v>
      </c>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56">
        <v>2550</v>
      </c>
      <c r="FD27" s="56">
        <v>1215</v>
      </c>
      <c r="FE27" s="56">
        <v>3765</v>
      </c>
      <c r="FF27" s="56">
        <v>15.5</v>
      </c>
      <c r="FG27" s="56">
        <v>3</v>
      </c>
      <c r="FH27" s="56">
        <v>360</v>
      </c>
      <c r="FI27" s="56">
        <v>1.6</v>
      </c>
      <c r="FJ27" s="56"/>
      <c r="FK27" s="56"/>
      <c r="FL27" s="56"/>
      <c r="FM27" s="56"/>
      <c r="FN27" s="56"/>
      <c r="FO27" s="56"/>
    </row>
    <row r="28" spans="1:171" x14ac:dyDescent="0.25">
      <c r="A28" s="25">
        <v>27</v>
      </c>
      <c r="B28" s="27" t="s">
        <v>504</v>
      </c>
      <c r="C28" s="10">
        <v>611</v>
      </c>
      <c r="D28" s="10">
        <v>344</v>
      </c>
      <c r="E28" s="10">
        <v>267</v>
      </c>
      <c r="F28" s="10">
        <v>80</v>
      </c>
      <c r="G28" s="10">
        <v>2.58</v>
      </c>
      <c r="H28" s="10">
        <v>40</v>
      </c>
      <c r="I28" s="10">
        <v>1.29</v>
      </c>
      <c r="J28" s="10">
        <v>8</v>
      </c>
      <c r="K28" s="10">
        <v>4</v>
      </c>
      <c r="L28" s="10">
        <v>264</v>
      </c>
      <c r="M28" s="10">
        <v>8.5</v>
      </c>
      <c r="N28" s="10">
        <v>227</v>
      </c>
      <c r="O28" s="10">
        <v>7.3</v>
      </c>
      <c r="P28" s="10">
        <v>674</v>
      </c>
      <c r="Q28" s="10">
        <v>392</v>
      </c>
      <c r="R28" s="10">
        <v>282</v>
      </c>
      <c r="S28" s="10">
        <v>118</v>
      </c>
      <c r="T28" s="16">
        <v>3.81</v>
      </c>
      <c r="U28" s="10">
        <v>67</v>
      </c>
      <c r="V28" s="10">
        <v>2.16</v>
      </c>
      <c r="W28" s="10">
        <v>8</v>
      </c>
      <c r="X28" s="10">
        <v>4</v>
      </c>
      <c r="Y28" s="10">
        <v>274</v>
      </c>
      <c r="Z28" s="10">
        <v>8.8000000000000007</v>
      </c>
      <c r="AA28" s="10">
        <v>215</v>
      </c>
      <c r="AB28" s="10">
        <v>6.9</v>
      </c>
      <c r="AC28" s="10">
        <v>774</v>
      </c>
      <c r="AD28" s="10">
        <v>471</v>
      </c>
      <c r="AE28" s="10">
        <v>302</v>
      </c>
      <c r="AF28" s="10">
        <v>197</v>
      </c>
      <c r="AG28" s="10">
        <v>6.6</v>
      </c>
      <c r="AH28" s="10">
        <v>94</v>
      </c>
      <c r="AI28" s="10">
        <v>3.1</v>
      </c>
      <c r="AJ28" s="10">
        <v>8</v>
      </c>
      <c r="AK28" s="10">
        <v>5</v>
      </c>
      <c r="AL28" s="10">
        <v>274</v>
      </c>
      <c r="AM28" s="10">
        <v>9.1</v>
      </c>
      <c r="AN28" s="10">
        <v>208</v>
      </c>
      <c r="AO28" s="10">
        <v>6.9</v>
      </c>
      <c r="AP28" s="10">
        <v>701</v>
      </c>
      <c r="AQ28" s="10">
        <v>455</v>
      </c>
      <c r="AR28" s="10">
        <v>266</v>
      </c>
      <c r="AS28" s="10">
        <v>159</v>
      </c>
      <c r="AT28" s="10">
        <v>5.13</v>
      </c>
      <c r="AU28" s="10">
        <v>64</v>
      </c>
      <c r="AV28" s="10">
        <v>2.06</v>
      </c>
      <c r="AW28" s="10">
        <v>6</v>
      </c>
      <c r="AX28" s="10">
        <v>5</v>
      </c>
      <c r="AY28" s="10">
        <v>296</v>
      </c>
      <c r="AZ28" s="10">
        <v>9.5500000000000007</v>
      </c>
      <c r="BA28" s="10">
        <v>202</v>
      </c>
      <c r="BB28" s="10">
        <v>6.52</v>
      </c>
      <c r="BC28" s="10">
        <v>541</v>
      </c>
      <c r="BD28" s="10">
        <v>334</v>
      </c>
      <c r="BE28" s="10">
        <v>207</v>
      </c>
      <c r="BF28" s="10">
        <v>79</v>
      </c>
      <c r="BG28" s="10">
        <v>2.63</v>
      </c>
      <c r="BH28" s="10">
        <v>41</v>
      </c>
      <c r="BI28" s="10">
        <v>1.37</v>
      </c>
      <c r="BJ28" s="10">
        <v>7</v>
      </c>
      <c r="BK28" s="10">
        <v>4</v>
      </c>
      <c r="BL28" s="10">
        <v>255</v>
      </c>
      <c r="BM28" s="10">
        <v>8.5</v>
      </c>
      <c r="BN28" s="10">
        <v>166</v>
      </c>
      <c r="BO28" s="10">
        <v>5.53</v>
      </c>
      <c r="BP28" s="10">
        <v>633</v>
      </c>
      <c r="BQ28" s="10">
        <v>418</v>
      </c>
      <c r="BR28" s="10">
        <v>215</v>
      </c>
      <c r="BS28" s="10">
        <v>134</v>
      </c>
      <c r="BT28" s="10">
        <v>4.32</v>
      </c>
      <c r="BU28" s="10">
        <v>56</v>
      </c>
      <c r="BV28" s="10">
        <v>1.81</v>
      </c>
      <c r="BW28" s="10">
        <v>7</v>
      </c>
      <c r="BX28" s="10">
        <v>5</v>
      </c>
      <c r="BY28" s="10">
        <v>281</v>
      </c>
      <c r="BZ28" s="10">
        <v>9.16</v>
      </c>
      <c r="CA28" s="10">
        <v>159</v>
      </c>
      <c r="CB28" s="10">
        <v>5.13</v>
      </c>
      <c r="CC28" s="10">
        <v>555</v>
      </c>
      <c r="CD28" s="10">
        <v>328</v>
      </c>
      <c r="CE28" s="10">
        <v>226</v>
      </c>
      <c r="CF28" s="10">
        <v>61</v>
      </c>
      <c r="CG28" s="10">
        <v>1.97</v>
      </c>
      <c r="CH28" s="10">
        <v>49</v>
      </c>
      <c r="CI28" s="10">
        <v>1.58</v>
      </c>
      <c r="CJ28" s="10">
        <v>7</v>
      </c>
      <c r="CK28" s="10">
        <v>4</v>
      </c>
      <c r="CL28" s="10">
        <v>267</v>
      </c>
      <c r="CM28" s="10">
        <v>8.61</v>
      </c>
      <c r="CN28" s="10">
        <v>177</v>
      </c>
      <c r="CO28" s="10">
        <v>5.71</v>
      </c>
      <c r="CP28" s="10">
        <v>584</v>
      </c>
      <c r="CQ28" s="10">
        <v>329</v>
      </c>
      <c r="CR28" s="10">
        <v>255</v>
      </c>
      <c r="CS28" s="10">
        <v>70</v>
      </c>
      <c r="CT28" s="10">
        <v>2.5</v>
      </c>
      <c r="CU28" s="10">
        <v>38</v>
      </c>
      <c r="CV28" s="10">
        <v>1.36</v>
      </c>
      <c r="CW28" s="10">
        <v>7</v>
      </c>
      <c r="CX28" s="10">
        <v>4</v>
      </c>
      <c r="CY28" s="10">
        <v>259</v>
      </c>
      <c r="CZ28" s="10">
        <v>9.25</v>
      </c>
      <c r="DA28" s="10">
        <v>217</v>
      </c>
      <c r="DB28" s="10">
        <v>7.75</v>
      </c>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56">
        <v>7000</v>
      </c>
      <c r="FD28" s="56">
        <v>4500</v>
      </c>
      <c r="FE28" s="56">
        <v>3000</v>
      </c>
      <c r="FF28" s="56">
        <v>960</v>
      </c>
      <c r="FG28" s="56">
        <v>2.65</v>
      </c>
      <c r="FH28" s="56">
        <v>750</v>
      </c>
      <c r="FI28" s="56">
        <v>1.5</v>
      </c>
      <c r="FJ28" s="56">
        <v>6</v>
      </c>
      <c r="FK28" s="56">
        <v>4</v>
      </c>
      <c r="FL28" s="56">
        <v>3000</v>
      </c>
      <c r="FM28" s="56">
        <v>7.5</v>
      </c>
      <c r="FN28" s="56">
        <v>2750</v>
      </c>
      <c r="FO28" s="56">
        <v>6</v>
      </c>
    </row>
    <row r="29" spans="1:171" s="7" customFormat="1" x14ac:dyDescent="0.25">
      <c r="A29" s="26">
        <v>28</v>
      </c>
      <c r="B29" s="27" t="s">
        <v>232</v>
      </c>
      <c r="C29" s="38">
        <v>5017</v>
      </c>
      <c r="D29" s="38">
        <v>10743</v>
      </c>
      <c r="E29" s="38">
        <v>207</v>
      </c>
      <c r="F29" s="38">
        <v>9.9</v>
      </c>
      <c r="G29" s="38">
        <v>6</v>
      </c>
      <c r="H29" s="38">
        <v>2</v>
      </c>
      <c r="I29" s="38">
        <v>46.58</v>
      </c>
      <c r="J29" s="38">
        <v>41.04</v>
      </c>
      <c r="K29" s="38">
        <v>11.9</v>
      </c>
      <c r="L29" s="38"/>
      <c r="M29" s="38"/>
      <c r="N29" s="38"/>
      <c r="O29" s="38"/>
      <c r="P29" s="38">
        <v>5001</v>
      </c>
      <c r="Q29" s="38">
        <v>10788</v>
      </c>
      <c r="R29" s="38">
        <v>281</v>
      </c>
      <c r="S29" s="38">
        <v>12.2</v>
      </c>
      <c r="T29" s="50">
        <v>6</v>
      </c>
      <c r="U29" s="38">
        <v>2</v>
      </c>
      <c r="V29" s="38">
        <v>88.45</v>
      </c>
      <c r="W29" s="38">
        <v>79.900000000000006</v>
      </c>
      <c r="X29" s="38">
        <v>9.6999999999999993</v>
      </c>
      <c r="Y29" s="38"/>
      <c r="Z29" s="38"/>
      <c r="AA29" s="38"/>
      <c r="AB29" s="38"/>
      <c r="AC29" s="38">
        <v>4546</v>
      </c>
      <c r="AD29" s="38">
        <v>10788</v>
      </c>
      <c r="AE29" s="38">
        <v>245</v>
      </c>
      <c r="AF29" s="38">
        <v>13.6</v>
      </c>
      <c r="AG29" s="38">
        <v>6</v>
      </c>
      <c r="AH29" s="38">
        <v>2</v>
      </c>
      <c r="AI29" s="38">
        <v>128.9</v>
      </c>
      <c r="AJ29" s="38">
        <v>122.2</v>
      </c>
      <c r="AK29" s="38">
        <v>5.3</v>
      </c>
      <c r="AL29" s="38"/>
      <c r="AM29" s="38"/>
      <c r="AN29" s="38"/>
      <c r="AO29" s="38"/>
      <c r="AP29" s="38">
        <v>4976</v>
      </c>
      <c r="AQ29" s="38">
        <v>10901</v>
      </c>
      <c r="AR29" s="38">
        <v>225</v>
      </c>
      <c r="AS29" s="38">
        <v>9.8000000000000007</v>
      </c>
      <c r="AT29" s="38">
        <v>6</v>
      </c>
      <c r="AU29" s="38">
        <v>1</v>
      </c>
      <c r="AV29" s="38">
        <v>169.7</v>
      </c>
      <c r="AW29" s="38">
        <v>156.1</v>
      </c>
      <c r="AX29" s="38">
        <v>8</v>
      </c>
      <c r="AY29" s="38"/>
      <c r="AZ29" s="38"/>
      <c r="BA29" s="38"/>
      <c r="BB29" s="38"/>
      <c r="BC29" s="38">
        <v>4898</v>
      </c>
      <c r="BD29" s="38">
        <v>10901</v>
      </c>
      <c r="BE29" s="38">
        <v>221</v>
      </c>
      <c r="BF29" s="38">
        <v>11.6</v>
      </c>
      <c r="BG29" s="38">
        <v>6</v>
      </c>
      <c r="BH29" s="38">
        <v>1</v>
      </c>
      <c r="BI29" s="38">
        <v>207.1</v>
      </c>
      <c r="BJ29" s="38">
        <v>197.8</v>
      </c>
      <c r="BK29" s="38">
        <v>5.5</v>
      </c>
      <c r="BL29" s="38"/>
      <c r="BM29" s="38"/>
      <c r="BN29" s="38"/>
      <c r="BO29" s="38"/>
      <c r="BP29" s="38">
        <v>4871</v>
      </c>
      <c r="BQ29" s="38">
        <v>11440</v>
      </c>
      <c r="BR29" s="38">
        <v>183</v>
      </c>
      <c r="BS29" s="38">
        <v>10.199999999999999</v>
      </c>
      <c r="BT29" s="38">
        <v>6</v>
      </c>
      <c r="BU29" s="38">
        <v>2</v>
      </c>
      <c r="BV29" s="38">
        <v>239.9</v>
      </c>
      <c r="BW29" s="38">
        <v>234.2</v>
      </c>
      <c r="BX29" s="38">
        <v>2.4</v>
      </c>
      <c r="BY29" s="38"/>
      <c r="BZ29" s="38"/>
      <c r="CA29" s="38"/>
      <c r="CB29" s="38"/>
      <c r="CC29" s="38">
        <v>5076</v>
      </c>
      <c r="CD29" s="38">
        <v>11492</v>
      </c>
      <c r="CE29" s="38">
        <v>199</v>
      </c>
      <c r="CF29" s="38">
        <v>9.5</v>
      </c>
      <c r="CG29" s="38">
        <v>6</v>
      </c>
      <c r="CH29" s="38">
        <v>2</v>
      </c>
      <c r="CI29" s="38">
        <v>285.10000000000002</v>
      </c>
      <c r="CJ29" s="38">
        <v>269.60000000000002</v>
      </c>
      <c r="CK29" s="38">
        <v>5.4</v>
      </c>
      <c r="CL29" s="38"/>
      <c r="CM29" s="38"/>
      <c r="CN29" s="38"/>
      <c r="CO29" s="38"/>
      <c r="CP29" s="38">
        <v>4951</v>
      </c>
      <c r="CQ29" s="38">
        <v>11527</v>
      </c>
      <c r="CR29" s="38">
        <v>163</v>
      </c>
      <c r="CS29" s="38">
        <v>8.1999999999999993</v>
      </c>
      <c r="CT29" s="38">
        <v>6</v>
      </c>
      <c r="CU29" s="38">
        <v>2</v>
      </c>
      <c r="CV29" s="38">
        <v>314.60000000000002</v>
      </c>
      <c r="CW29" s="38">
        <v>305.89999999999998</v>
      </c>
      <c r="CX29" s="38">
        <v>2.8</v>
      </c>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56">
        <v>55500</v>
      </c>
      <c r="FD29" s="56">
        <v>10250</v>
      </c>
      <c r="FE29" s="56">
        <v>3150</v>
      </c>
      <c r="FF29" s="56">
        <v>13.1</v>
      </c>
      <c r="FG29" s="56">
        <v>10</v>
      </c>
      <c r="FH29" s="56">
        <v>5</v>
      </c>
      <c r="FI29" s="56">
        <v>630</v>
      </c>
      <c r="FJ29" s="56">
        <v>535</v>
      </c>
      <c r="FK29" s="56">
        <v>10</v>
      </c>
      <c r="FL29" s="56"/>
      <c r="FM29" s="56"/>
      <c r="FN29" s="56"/>
      <c r="FO29" s="56"/>
    </row>
    <row r="30" spans="1:171" x14ac:dyDescent="0.25">
      <c r="A30" s="25">
        <v>29</v>
      </c>
      <c r="B30" s="28">
        <v>911</v>
      </c>
      <c r="C30" s="10">
        <v>11880</v>
      </c>
      <c r="D30" s="10">
        <v>2.19</v>
      </c>
      <c r="E30" s="10">
        <v>1.02</v>
      </c>
      <c r="F30" s="10">
        <v>2.44</v>
      </c>
      <c r="G30" s="10">
        <v>4.01</v>
      </c>
      <c r="H30" s="10">
        <v>97.1</v>
      </c>
      <c r="I30" s="10"/>
      <c r="J30" s="10"/>
      <c r="K30" s="10"/>
      <c r="L30" s="10"/>
      <c r="M30" s="10"/>
      <c r="N30" s="10"/>
      <c r="O30" s="10"/>
      <c r="P30" s="10">
        <v>12401</v>
      </c>
      <c r="Q30" s="10">
        <v>2.1800000000000002</v>
      </c>
      <c r="R30" s="10">
        <v>1.08</v>
      </c>
      <c r="S30" s="10">
        <v>2.42</v>
      </c>
      <c r="T30" s="16">
        <v>4.18</v>
      </c>
      <c r="U30" s="10">
        <v>95.75</v>
      </c>
      <c r="V30" s="10"/>
      <c r="W30" s="10"/>
      <c r="X30" s="10"/>
      <c r="Y30" s="10"/>
      <c r="Z30" s="10"/>
      <c r="AA30" s="10"/>
      <c r="AB30" s="10"/>
      <c r="AC30" s="10">
        <v>12039</v>
      </c>
      <c r="AD30" s="10">
        <v>2.17</v>
      </c>
      <c r="AE30" s="10">
        <v>1.04</v>
      </c>
      <c r="AF30" s="10">
        <v>2.34</v>
      </c>
      <c r="AG30" s="10">
        <v>3.92</v>
      </c>
      <c r="AH30" s="10">
        <v>96.65</v>
      </c>
      <c r="AI30" s="10"/>
      <c r="AJ30" s="10"/>
      <c r="AK30" s="10"/>
      <c r="AL30" s="10"/>
      <c r="AM30" s="10"/>
      <c r="AN30" s="10"/>
      <c r="AO30" s="10"/>
      <c r="AP30" s="10">
        <v>12072</v>
      </c>
      <c r="AQ30" s="10">
        <v>2.08</v>
      </c>
      <c r="AR30" s="10">
        <v>1.17</v>
      </c>
      <c r="AS30" s="10">
        <v>2.48</v>
      </c>
      <c r="AT30" s="18">
        <v>4.05</v>
      </c>
      <c r="AU30" s="10">
        <v>96.6</v>
      </c>
      <c r="AV30" s="10"/>
      <c r="AW30" s="10"/>
      <c r="AX30" s="10"/>
      <c r="AY30" s="10"/>
      <c r="AZ30" s="10"/>
      <c r="BA30" s="10"/>
      <c r="BB30" s="10"/>
      <c r="BC30" s="10">
        <v>10866</v>
      </c>
      <c r="BD30" s="10">
        <v>2.11</v>
      </c>
      <c r="BE30" s="10">
        <v>0.54</v>
      </c>
      <c r="BF30" s="10">
        <v>2.4500000000000002</v>
      </c>
      <c r="BG30" s="10">
        <v>3.77</v>
      </c>
      <c r="BH30" s="10">
        <v>98.49</v>
      </c>
      <c r="BI30" s="10"/>
      <c r="BJ30" s="10"/>
      <c r="BK30" s="10"/>
      <c r="BL30" s="10"/>
      <c r="BM30" s="10"/>
      <c r="BN30" s="10"/>
      <c r="BO30" s="10"/>
      <c r="BP30" s="10">
        <v>11269</v>
      </c>
      <c r="BQ30" s="10">
        <v>2.06</v>
      </c>
      <c r="BR30" s="10">
        <v>1.1299999999999999</v>
      </c>
      <c r="BS30" s="10">
        <v>2.52</v>
      </c>
      <c r="BT30" s="10">
        <v>3.77</v>
      </c>
      <c r="BU30" s="10">
        <v>98.46</v>
      </c>
      <c r="BV30" s="10"/>
      <c r="BW30" s="10"/>
      <c r="BX30" s="10"/>
      <c r="BY30" s="10"/>
      <c r="BZ30" s="10"/>
      <c r="CA30" s="10"/>
      <c r="CB30" s="10"/>
      <c r="CC30" s="10">
        <v>11097</v>
      </c>
      <c r="CD30" s="10">
        <v>2.33</v>
      </c>
      <c r="CE30" s="10">
        <v>0.51</v>
      </c>
      <c r="CF30" s="10">
        <v>2.15</v>
      </c>
      <c r="CG30" s="10">
        <v>3.74</v>
      </c>
      <c r="CH30" s="10">
        <v>99.27</v>
      </c>
      <c r="CI30" s="10"/>
      <c r="CJ30" s="10"/>
      <c r="CK30" s="10"/>
      <c r="CL30" s="10"/>
      <c r="CM30" s="10"/>
      <c r="CN30" s="10"/>
      <c r="CO30" s="10"/>
      <c r="CP30" s="10">
        <v>10091</v>
      </c>
      <c r="CQ30" s="10">
        <v>2.06</v>
      </c>
      <c r="CR30" s="10">
        <v>0.5</v>
      </c>
      <c r="CS30" s="10">
        <v>2.37</v>
      </c>
      <c r="CT30" s="10">
        <v>3.72</v>
      </c>
      <c r="CU30" s="10">
        <v>98.67</v>
      </c>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38"/>
      <c r="EQ30" s="38"/>
      <c r="ER30" s="38"/>
      <c r="ES30" s="38"/>
      <c r="ET30" s="38"/>
      <c r="EU30" s="38"/>
      <c r="EV30" s="10"/>
      <c r="EW30" s="10"/>
      <c r="EX30" s="10"/>
      <c r="EY30" s="10"/>
      <c r="EZ30" s="10"/>
      <c r="FA30" s="10"/>
      <c r="FB30" s="10"/>
      <c r="FC30" s="56">
        <v>120500</v>
      </c>
      <c r="FD30" s="56">
        <v>2.25</v>
      </c>
      <c r="FE30" s="56">
        <v>1</v>
      </c>
      <c r="FF30" s="56">
        <v>2.5</v>
      </c>
      <c r="FG30" s="56">
        <v>4.25</v>
      </c>
      <c r="FH30" s="56">
        <v>95.25</v>
      </c>
      <c r="FI30" s="56"/>
      <c r="FJ30" s="56"/>
      <c r="FK30" s="56"/>
      <c r="FL30" s="56"/>
      <c r="FM30" s="56"/>
      <c r="FN30" s="56"/>
      <c r="FO30" s="56"/>
    </row>
    <row r="31" spans="1:171"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71"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330</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I21" sqref="I21"/>
    </sheetView>
  </sheetViews>
  <sheetFormatPr defaultRowHeight="13.2" x14ac:dyDescent="0.25"/>
  <cols>
    <col min="1" max="1" width="17.6640625" customWidth="1"/>
    <col min="13" max="14" width="10.109375" bestFit="1" customWidth="1"/>
    <col min="15" max="15" width="14.6640625" customWidth="1"/>
    <col min="16" max="16" width="10.77734375" customWidth="1"/>
    <col min="17" max="17" width="10.109375" customWidth="1"/>
    <col min="18" max="18" width="10.77734375" customWidth="1"/>
    <col min="19" max="19" width="11" customWidth="1"/>
    <col min="20" max="20" width="11.5546875" customWidth="1"/>
    <col min="21" max="21" width="10.21875" customWidth="1"/>
    <col min="22" max="22" width="10.109375" customWidth="1"/>
    <col min="23" max="23" width="11" customWidth="1"/>
    <col min="24" max="24" width="10.109375" customWidth="1"/>
  </cols>
  <sheetData>
    <row r="1" spans="1:25" ht="13.8" thickBot="1" x14ac:dyDescent="0.3">
      <c r="L1" s="108" t="s">
        <v>549</v>
      </c>
      <c r="M1" s="108"/>
      <c r="N1" s="108"/>
      <c r="O1" s="108"/>
      <c r="P1" s="108"/>
      <c r="Q1" s="108"/>
      <c r="R1" s="109"/>
    </row>
    <row r="2" spans="1:25" hidden="1" x14ac:dyDescent="0.25">
      <c r="A2" s="9" t="s">
        <v>233</v>
      </c>
      <c r="L2" s="109"/>
      <c r="M2" s="109"/>
    </row>
    <row r="3" spans="1:25" hidden="1" x14ac:dyDescent="0.25">
      <c r="A3" s="9" t="s">
        <v>335</v>
      </c>
      <c r="L3" s="109"/>
      <c r="M3" s="109"/>
    </row>
    <row r="4" spans="1:25" hidden="1" x14ac:dyDescent="0.25">
      <c r="A4" s="9"/>
      <c r="L4" s="109"/>
      <c r="M4" s="109"/>
    </row>
    <row r="5" spans="1:25" hidden="1" x14ac:dyDescent="0.25">
      <c r="A5" s="31">
        <v>1019353</v>
      </c>
      <c r="L5" s="109"/>
      <c r="M5" s="109"/>
    </row>
    <row r="6" spans="1:25" hidden="1" x14ac:dyDescent="0.25">
      <c r="B6" s="11" t="s">
        <v>348</v>
      </c>
      <c r="C6" s="11" t="s">
        <v>338</v>
      </c>
      <c r="D6" s="11" t="s">
        <v>339</v>
      </c>
      <c r="E6" s="11" t="s">
        <v>340</v>
      </c>
      <c r="F6" s="11" t="s">
        <v>341</v>
      </c>
      <c r="G6" s="11" t="s">
        <v>342</v>
      </c>
      <c r="H6" s="11" t="s">
        <v>343</v>
      </c>
      <c r="I6" s="11" t="s">
        <v>344</v>
      </c>
      <c r="J6" s="11" t="s">
        <v>346</v>
      </c>
      <c r="K6" s="11" t="s">
        <v>345</v>
      </c>
      <c r="L6" s="111" t="s">
        <v>347</v>
      </c>
      <c r="M6" s="111" t="s">
        <v>349</v>
      </c>
      <c r="N6" s="11" t="s">
        <v>350</v>
      </c>
      <c r="O6" s="11" t="s">
        <v>351</v>
      </c>
    </row>
    <row r="7" spans="1:25" hidden="1" x14ac:dyDescent="0.25">
      <c r="A7" s="11" t="s">
        <v>336</v>
      </c>
      <c r="L7" s="109"/>
      <c r="M7" s="109"/>
      <c r="N7" s="30">
        <f>SUM(B7:M7)</f>
        <v>0</v>
      </c>
      <c r="O7" s="30" t="e">
        <f>AVERAGE(B7:M7)*12</f>
        <v>#DIV/0!</v>
      </c>
    </row>
    <row r="8" spans="1:25" hidden="1" x14ac:dyDescent="0.25">
      <c r="A8" s="11" t="s">
        <v>337</v>
      </c>
      <c r="L8" s="109"/>
      <c r="M8" s="109"/>
      <c r="N8" s="30">
        <f>SUM(B8:M8)</f>
        <v>0</v>
      </c>
      <c r="O8" s="30" t="e">
        <f>AVERAGE(B8:M8)*12</f>
        <v>#DIV/0!</v>
      </c>
    </row>
    <row r="9" spans="1:25" hidden="1" x14ac:dyDescent="0.25">
      <c r="L9" s="109"/>
      <c r="M9" s="109"/>
    </row>
    <row r="10" spans="1:25" hidden="1" x14ac:dyDescent="0.25">
      <c r="A10" s="11" t="s">
        <v>352</v>
      </c>
      <c r="B10" t="e">
        <f>SUM(1019353/O7)</f>
        <v>#DIV/0!</v>
      </c>
      <c r="L10" s="109"/>
      <c r="M10" s="109"/>
    </row>
    <row r="11" spans="1:25" hidden="1" x14ac:dyDescent="0.25">
      <c r="A11" s="11" t="s">
        <v>337</v>
      </c>
      <c r="B11" t="e">
        <f>SUM(1019353/O8)</f>
        <v>#DIV/0!</v>
      </c>
      <c r="L11" s="109"/>
      <c r="M11" s="109"/>
    </row>
    <row r="12" spans="1:25" hidden="1" x14ac:dyDescent="0.25">
      <c r="L12" s="109"/>
      <c r="M12" s="109"/>
    </row>
    <row r="13" spans="1:25" hidden="1" x14ac:dyDescent="0.25">
      <c r="L13" s="109"/>
      <c r="M13" s="109"/>
    </row>
    <row r="14" spans="1:25" x14ac:dyDescent="0.25">
      <c r="A14" s="89" t="s">
        <v>360</v>
      </c>
      <c r="B14" s="90"/>
      <c r="C14" s="90"/>
      <c r="D14" s="90"/>
      <c r="E14" s="90"/>
      <c r="F14" s="90"/>
      <c r="G14" s="90"/>
      <c r="H14" s="91"/>
      <c r="I14" s="108" t="s">
        <v>229</v>
      </c>
      <c r="J14" s="108"/>
      <c r="K14" s="109"/>
      <c r="L14" s="114">
        <v>353978</v>
      </c>
      <c r="M14" s="109"/>
      <c r="N14" s="109"/>
      <c r="O14" s="109"/>
      <c r="P14" s="109"/>
      <c r="Q14" s="109"/>
      <c r="R14" s="109"/>
      <c r="S14" s="109"/>
      <c r="T14" s="109"/>
      <c r="U14" s="109"/>
      <c r="V14" s="109"/>
      <c r="W14" s="109"/>
      <c r="X14" s="109"/>
      <c r="Y14" s="109"/>
    </row>
    <row r="15" spans="1:25" x14ac:dyDescent="0.25">
      <c r="A15" s="92"/>
      <c r="B15" s="93"/>
      <c r="C15" s="93"/>
      <c r="D15" s="93"/>
      <c r="E15" s="93"/>
      <c r="F15" s="93"/>
      <c r="G15" s="93"/>
      <c r="H15" s="94"/>
      <c r="I15" s="109"/>
      <c r="J15" s="109"/>
      <c r="K15" s="109"/>
      <c r="L15" s="109"/>
      <c r="M15" s="110" t="s">
        <v>87</v>
      </c>
      <c r="N15" s="110" t="s">
        <v>88</v>
      </c>
      <c r="O15" s="110" t="s">
        <v>89</v>
      </c>
      <c r="P15" s="110" t="s">
        <v>15</v>
      </c>
      <c r="Q15" s="110" t="s">
        <v>16</v>
      </c>
      <c r="R15" s="110" t="s">
        <v>17</v>
      </c>
      <c r="S15" s="110" t="s">
        <v>33</v>
      </c>
      <c r="T15" s="110" t="s">
        <v>34</v>
      </c>
      <c r="U15" s="110" t="s">
        <v>35</v>
      </c>
      <c r="V15" s="110" t="s">
        <v>541</v>
      </c>
      <c r="W15" s="110" t="s">
        <v>540</v>
      </c>
      <c r="X15" s="110" t="s">
        <v>38</v>
      </c>
      <c r="Y15" s="110" t="s">
        <v>350</v>
      </c>
    </row>
    <row r="16" spans="1:25" ht="13.8" thickBot="1" x14ac:dyDescent="0.3">
      <c r="A16" s="92" t="s">
        <v>361</v>
      </c>
      <c r="B16" s="93"/>
      <c r="C16" s="95" t="s">
        <v>538</v>
      </c>
      <c r="D16" s="93"/>
      <c r="E16" s="93"/>
      <c r="F16" s="93"/>
      <c r="G16" s="93"/>
      <c r="H16" s="94"/>
      <c r="I16" s="111" t="s">
        <v>548</v>
      </c>
      <c r="J16" s="109"/>
      <c r="K16" s="109"/>
      <c r="L16" s="109"/>
      <c r="M16" s="112">
        <v>73</v>
      </c>
      <c r="N16" s="109">
        <v>80</v>
      </c>
      <c r="O16" s="109">
        <v>92</v>
      </c>
      <c r="P16" s="109">
        <v>89</v>
      </c>
      <c r="Q16" s="109">
        <v>90</v>
      </c>
      <c r="R16" s="109">
        <v>85</v>
      </c>
      <c r="S16" s="109">
        <v>96</v>
      </c>
      <c r="T16" s="109">
        <v>121</v>
      </c>
      <c r="U16" s="109"/>
      <c r="V16" s="109"/>
      <c r="W16" s="109"/>
      <c r="X16" s="109"/>
      <c r="Y16" s="109"/>
    </row>
    <row r="17" spans="1:25" x14ac:dyDescent="0.25">
      <c r="A17" s="96">
        <v>63069</v>
      </c>
      <c r="B17" s="93"/>
      <c r="C17" s="93"/>
      <c r="D17" s="93"/>
      <c r="E17" s="93"/>
      <c r="F17" s="93"/>
      <c r="G17" s="93"/>
      <c r="H17" s="93"/>
      <c r="I17" s="90"/>
      <c r="J17" s="90"/>
      <c r="K17" s="90"/>
      <c r="L17" s="90"/>
      <c r="M17" s="90"/>
      <c r="N17" s="91"/>
    </row>
    <row r="18" spans="1:25" x14ac:dyDescent="0.25">
      <c r="A18" s="97">
        <v>1248686</v>
      </c>
      <c r="B18" s="106" t="s">
        <v>87</v>
      </c>
      <c r="C18" s="106" t="s">
        <v>88</v>
      </c>
      <c r="D18" s="106" t="s">
        <v>89</v>
      </c>
      <c r="E18" s="106" t="s">
        <v>15</v>
      </c>
      <c r="F18" s="106" t="s">
        <v>16</v>
      </c>
      <c r="G18" s="106" t="s">
        <v>17</v>
      </c>
      <c r="H18" s="106" t="s">
        <v>33</v>
      </c>
      <c r="I18" s="106" t="s">
        <v>34</v>
      </c>
      <c r="J18" s="106" t="s">
        <v>35</v>
      </c>
      <c r="K18" s="106" t="s">
        <v>36</v>
      </c>
      <c r="L18" s="106" t="s">
        <v>540</v>
      </c>
      <c r="M18" s="106" t="s">
        <v>38</v>
      </c>
      <c r="N18" s="107" t="s">
        <v>350</v>
      </c>
    </row>
    <row r="19" spans="1:25" x14ac:dyDescent="0.25">
      <c r="A19" s="98" t="s">
        <v>362</v>
      </c>
      <c r="B19" s="102">
        <v>11252</v>
      </c>
      <c r="C19" s="102">
        <v>10780</v>
      </c>
      <c r="D19" s="102">
        <v>8065</v>
      </c>
      <c r="E19" s="102">
        <v>10199</v>
      </c>
      <c r="F19" s="102">
        <v>7741</v>
      </c>
      <c r="G19" s="102">
        <v>6793</v>
      </c>
      <c r="H19" s="102">
        <v>8626</v>
      </c>
      <c r="I19" s="102">
        <v>8153</v>
      </c>
      <c r="J19" s="102"/>
      <c r="K19" s="102"/>
      <c r="L19" s="102"/>
      <c r="M19" s="102"/>
      <c r="N19" s="103">
        <f>AVERAGE(B19:L19)*12</f>
        <v>107413.5</v>
      </c>
    </row>
    <row r="20" spans="1:25" ht="13.8" thickBot="1" x14ac:dyDescent="0.3">
      <c r="A20" s="98" t="s">
        <v>363</v>
      </c>
      <c r="B20" s="102">
        <v>13704</v>
      </c>
      <c r="C20" s="102">
        <v>13287</v>
      </c>
      <c r="D20" s="102">
        <v>10473</v>
      </c>
      <c r="E20" s="102">
        <v>12645</v>
      </c>
      <c r="F20" s="102">
        <v>9738</v>
      </c>
      <c r="G20" s="102">
        <v>8689</v>
      </c>
      <c r="H20" s="102">
        <v>11144</v>
      </c>
      <c r="I20" s="104">
        <v>10389</v>
      </c>
      <c r="J20" s="104"/>
      <c r="K20" s="104"/>
      <c r="L20" s="104"/>
      <c r="M20" s="104"/>
      <c r="N20" s="105">
        <f>AVERAGE(B20:L20)*12</f>
        <v>135103.5</v>
      </c>
    </row>
    <row r="21" spans="1:25" x14ac:dyDescent="0.25">
      <c r="A21" s="92"/>
      <c r="B21" s="93"/>
      <c r="C21" s="93"/>
      <c r="D21" s="93"/>
      <c r="E21" s="93"/>
      <c r="F21" s="93"/>
      <c r="G21" s="93"/>
      <c r="H21" s="94"/>
      <c r="I21" s="111" t="s">
        <v>543</v>
      </c>
      <c r="J21" s="109"/>
      <c r="K21" s="109"/>
      <c r="L21" s="109"/>
      <c r="M21" s="115">
        <f>SUM(L14/12)</f>
        <v>29498.166666666668</v>
      </c>
      <c r="N21" s="115">
        <f>SUM(L14/12)</f>
        <v>29498.166666666668</v>
      </c>
      <c r="O21" s="115">
        <f>SUM(L14/12)</f>
        <v>29498.166666666668</v>
      </c>
      <c r="P21" s="115">
        <f>SUM(L14/12)</f>
        <v>29498.166666666668</v>
      </c>
      <c r="Q21" s="115">
        <f>SUM(L14/12)</f>
        <v>29498.166666666668</v>
      </c>
      <c r="R21" s="115">
        <f>SUM(L14/12)</f>
        <v>29498.166666666668</v>
      </c>
      <c r="S21" s="115">
        <v>29498.17</v>
      </c>
      <c r="T21" s="115">
        <v>29498.17</v>
      </c>
      <c r="U21" s="115"/>
      <c r="V21" s="115"/>
      <c r="W21" s="115"/>
      <c r="X21" s="115"/>
      <c r="Y21" s="109"/>
    </row>
    <row r="22" spans="1:25" x14ac:dyDescent="0.25">
      <c r="A22" s="92" t="s">
        <v>364</v>
      </c>
      <c r="B22" s="93"/>
      <c r="C22" s="93"/>
      <c r="D22" s="93"/>
      <c r="E22" s="93"/>
      <c r="F22" s="93">
        <f>SUM(N19/A17)</f>
        <v>1.7031108785615754</v>
      </c>
      <c r="G22" s="93"/>
      <c r="H22" s="94"/>
      <c r="I22" s="111" t="s">
        <v>542</v>
      </c>
      <c r="J22" s="109"/>
      <c r="K22" s="109"/>
      <c r="L22" s="109"/>
      <c r="M22" s="109">
        <f>SUM(M21)/(M16*21)</f>
        <v>19.242117851706894</v>
      </c>
      <c r="N22" s="109">
        <f>SUM(N21)/(N16*21)</f>
        <v>17.558432539682542</v>
      </c>
      <c r="O22" s="109">
        <f>SUM(O21)/(O16*21)</f>
        <v>15.2682022084196</v>
      </c>
      <c r="P22" s="109">
        <f>SUM(P21)/(P16*21)</f>
        <v>15.782860709827002</v>
      </c>
      <c r="Q22" s="109">
        <f>SUM(Q21)/(Q16*19)</f>
        <v>17.25038986354776</v>
      </c>
      <c r="R22" s="109">
        <f>SUM(R21)/(R16*18)</f>
        <v>19.279847494553376</v>
      </c>
      <c r="S22" s="109">
        <f>SUM(S21)/(S16*18)</f>
        <v>17.070700231481482</v>
      </c>
      <c r="T22" s="109">
        <f>SUM(T21)/(T16*18)</f>
        <v>13.543696051423323</v>
      </c>
      <c r="U22" s="109"/>
      <c r="V22" s="109"/>
      <c r="W22" s="109"/>
      <c r="X22" s="109"/>
      <c r="Y22" s="109"/>
    </row>
    <row r="23" spans="1:25" x14ac:dyDescent="0.25">
      <c r="A23" s="92" t="s">
        <v>365</v>
      </c>
      <c r="B23" s="93"/>
      <c r="C23" s="93"/>
      <c r="D23" s="93"/>
      <c r="E23" s="93"/>
      <c r="F23" s="93">
        <f>SUM(N20/A17)</f>
        <v>2.1421538315178612</v>
      </c>
      <c r="G23" s="93"/>
      <c r="H23" s="94"/>
    </row>
    <row r="24" spans="1:25" ht="13.8" thickBot="1" x14ac:dyDescent="0.3">
      <c r="A24" s="99" t="s">
        <v>366</v>
      </c>
      <c r="B24" s="100"/>
      <c r="C24" s="100"/>
      <c r="D24" s="100"/>
      <c r="E24" s="100"/>
      <c r="F24" s="100">
        <f>SUM(A18/N20)</f>
        <v>9.2424400552169264</v>
      </c>
      <c r="G24" s="100"/>
      <c r="H24" s="101"/>
      <c r="I24" s="109"/>
      <c r="J24" s="109"/>
      <c r="K24" s="109"/>
      <c r="L24" s="108" t="s">
        <v>550</v>
      </c>
      <c r="M24" s="108"/>
      <c r="N24" s="108"/>
      <c r="O24" s="114">
        <v>44500</v>
      </c>
      <c r="P24" s="109"/>
      <c r="Q24" s="109"/>
      <c r="R24" s="109"/>
      <c r="S24" s="109"/>
      <c r="T24" s="109"/>
      <c r="U24" s="109"/>
      <c r="V24" s="109"/>
      <c r="W24" s="109"/>
      <c r="X24" s="109"/>
      <c r="Y24" s="109"/>
    </row>
    <row r="25" spans="1:25" x14ac:dyDescent="0.25">
      <c r="I25" s="111" t="s">
        <v>547</v>
      </c>
      <c r="J25" s="109"/>
      <c r="K25" s="109"/>
      <c r="L25" s="109"/>
      <c r="M25" s="112">
        <v>0</v>
      </c>
      <c r="N25" s="112">
        <v>0</v>
      </c>
      <c r="O25" s="112">
        <v>0</v>
      </c>
      <c r="P25" s="112">
        <v>19</v>
      </c>
      <c r="Q25" s="112">
        <v>25</v>
      </c>
      <c r="R25" s="112">
        <v>17</v>
      </c>
      <c r="S25" s="112">
        <v>27</v>
      </c>
      <c r="T25" s="112">
        <v>24</v>
      </c>
      <c r="U25" s="112"/>
      <c r="V25" s="112"/>
      <c r="W25" s="112"/>
      <c r="X25" s="112"/>
      <c r="Y25" s="112"/>
    </row>
    <row r="26" spans="1:25" x14ac:dyDescent="0.25">
      <c r="I26" s="113" t="s">
        <v>543</v>
      </c>
      <c r="J26" s="109"/>
      <c r="K26" s="109"/>
      <c r="L26" s="109"/>
      <c r="M26" s="112"/>
      <c r="N26" s="112"/>
      <c r="O26" s="112"/>
      <c r="P26" s="117">
        <v>4398</v>
      </c>
      <c r="Q26" s="117">
        <v>3783</v>
      </c>
      <c r="R26" s="117">
        <v>3870</v>
      </c>
      <c r="S26" s="117">
        <v>3800</v>
      </c>
      <c r="T26" s="117">
        <v>3800</v>
      </c>
      <c r="U26" s="117"/>
      <c r="V26" s="117"/>
      <c r="W26" s="117"/>
      <c r="X26" s="117"/>
      <c r="Y26" s="117"/>
    </row>
    <row r="27" spans="1:25" x14ac:dyDescent="0.25">
      <c r="I27" s="113" t="s">
        <v>542</v>
      </c>
      <c r="J27" s="109"/>
      <c r="K27" s="109"/>
      <c r="L27" s="109"/>
      <c r="M27" s="112"/>
      <c r="N27" s="112"/>
      <c r="O27" s="112"/>
      <c r="P27" s="116">
        <f>SUM(P26)/(P25*13)</f>
        <v>17.805668016194332</v>
      </c>
      <c r="Q27" s="116">
        <f>SUM(Q26)/(Q25*19)</f>
        <v>7.9642105263157896</v>
      </c>
      <c r="R27" s="116">
        <f>SUM(R26)/(R25*19)</f>
        <v>11.981424148606811</v>
      </c>
      <c r="S27" s="116">
        <f>SUM(S26)/(S25*19)</f>
        <v>7.4074074074074074</v>
      </c>
      <c r="T27" s="116">
        <f>SUM(T26)/(T25*19)</f>
        <v>8.3333333333333339</v>
      </c>
      <c r="U27" s="112"/>
      <c r="V27" s="112"/>
      <c r="W27" s="112"/>
      <c r="X27" s="112"/>
      <c r="Y27" s="112"/>
    </row>
    <row r="29" spans="1:25" x14ac:dyDescent="0.25">
      <c r="A29" t="s">
        <v>381</v>
      </c>
      <c r="B29" t="s">
        <v>383</v>
      </c>
      <c r="C29" t="s">
        <v>34</v>
      </c>
      <c r="D29" t="s">
        <v>35</v>
      </c>
      <c r="E29" t="s">
        <v>36</v>
      </c>
      <c r="F29" t="s">
        <v>37</v>
      </c>
      <c r="G29" t="s">
        <v>38</v>
      </c>
      <c r="H29" t="s">
        <v>87</v>
      </c>
      <c r="I29" t="s">
        <v>88</v>
      </c>
      <c r="J29" t="s">
        <v>89</v>
      </c>
      <c r="K29" t="s">
        <v>15</v>
      </c>
      <c r="L29" t="s">
        <v>16</v>
      </c>
      <c r="M29" t="s">
        <v>17</v>
      </c>
      <c r="N29" t="s">
        <v>385</v>
      </c>
    </row>
    <row r="30" spans="1:25" x14ac:dyDescent="0.25">
      <c r="A30" t="s">
        <v>382</v>
      </c>
      <c r="B30">
        <v>24</v>
      </c>
      <c r="C30">
        <v>15</v>
      </c>
      <c r="H30">
        <v>40</v>
      </c>
      <c r="I30">
        <v>30</v>
      </c>
      <c r="J30">
        <v>21</v>
      </c>
      <c r="K30">
        <v>33</v>
      </c>
      <c r="L30">
        <v>23</v>
      </c>
      <c r="M30">
        <v>35</v>
      </c>
      <c r="N30">
        <f t="shared" ref="N30" si="0">SUM(B30:M30)</f>
        <v>221</v>
      </c>
    </row>
    <row r="31" spans="1:25" x14ac:dyDescent="0.25">
      <c r="O31" s="32">
        <f>SUM(N32/N30)</f>
        <v>0.25791855203619912</v>
      </c>
    </row>
    <row r="32" spans="1:25" x14ac:dyDescent="0.25">
      <c r="A32" t="s">
        <v>384</v>
      </c>
      <c r="B32" s="7">
        <v>5</v>
      </c>
      <c r="C32">
        <v>1</v>
      </c>
      <c r="H32">
        <v>13</v>
      </c>
      <c r="I32">
        <v>7</v>
      </c>
      <c r="J32">
        <v>4</v>
      </c>
      <c r="K32">
        <v>10</v>
      </c>
      <c r="L32">
        <v>5</v>
      </c>
      <c r="M32">
        <v>12</v>
      </c>
      <c r="N32">
        <f>SUM(B32:M32)</f>
        <v>57</v>
      </c>
      <c r="T32">
        <v>5</v>
      </c>
    </row>
    <row r="34" spans="1:16" x14ac:dyDescent="0.25">
      <c r="P34" t="s">
        <v>499</v>
      </c>
    </row>
    <row r="35" spans="1:16" x14ac:dyDescent="0.25">
      <c r="A35" s="11"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1" t="s">
        <v>451</v>
      </c>
      <c r="N36">
        <f>SUM(B36:M36)</f>
        <v>0</v>
      </c>
    </row>
    <row r="37" spans="1:16" x14ac:dyDescent="0.25">
      <c r="O37" s="32" t="e">
        <f>SUM(N38/N36)</f>
        <v>#DIV/0!</v>
      </c>
    </row>
    <row r="38" spans="1:16" x14ac:dyDescent="0.25">
      <c r="A38" s="11"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1" t="s">
        <v>444</v>
      </c>
    </row>
    <row r="45" spans="1:16" x14ac:dyDescent="0.25">
      <c r="A45" t="s">
        <v>445</v>
      </c>
      <c r="B45" s="10">
        <v>3</v>
      </c>
      <c r="C45" s="10">
        <v>0</v>
      </c>
      <c r="D45" s="10"/>
      <c r="E45" s="10"/>
      <c r="F45" s="10"/>
      <c r="G45" s="10"/>
      <c r="H45" s="10">
        <v>3</v>
      </c>
      <c r="I45" s="10">
        <v>5</v>
      </c>
      <c r="J45" s="10">
        <v>3</v>
      </c>
      <c r="K45" s="10">
        <v>3</v>
      </c>
      <c r="L45" s="10">
        <v>2</v>
      </c>
      <c r="M45" s="10">
        <v>4</v>
      </c>
      <c r="N45" s="10">
        <f>SUM(B45:M45)</f>
        <v>23</v>
      </c>
      <c r="O45" s="42">
        <f>SUM(N46*12)/440</f>
        <v>7.8409090909090914E-2</v>
      </c>
      <c r="P45" t="s">
        <v>446</v>
      </c>
    </row>
    <row r="46" spans="1:16" x14ac:dyDescent="0.25">
      <c r="B46" s="10"/>
      <c r="C46" s="10"/>
      <c r="D46" s="10"/>
      <c r="E46" s="10"/>
      <c r="F46" s="10"/>
      <c r="G46" s="10"/>
      <c r="H46" s="10"/>
      <c r="I46" s="10"/>
      <c r="J46" s="10"/>
      <c r="K46" s="10"/>
      <c r="L46" s="10"/>
      <c r="M46" t="s">
        <v>447</v>
      </c>
      <c r="N46" s="10">
        <f>AVERAGE(B45:M45)</f>
        <v>2.875</v>
      </c>
      <c r="O46" s="42"/>
    </row>
    <row r="47" spans="1:16" x14ac:dyDescent="0.25">
      <c r="A47" s="11" t="s">
        <v>524</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449</v>
      </c>
      <c r="B49" s="10">
        <v>4</v>
      </c>
      <c r="C49" s="10">
        <v>1</v>
      </c>
      <c r="D49" s="10"/>
      <c r="E49" s="10"/>
      <c r="F49" s="10"/>
      <c r="G49" s="10"/>
      <c r="H49" s="10">
        <v>3</v>
      </c>
      <c r="I49" s="10">
        <v>5</v>
      </c>
      <c r="J49" s="10">
        <v>4</v>
      </c>
      <c r="K49" s="10">
        <v>4</v>
      </c>
      <c r="L49" s="10">
        <v>10</v>
      </c>
      <c r="M49" s="10">
        <v>8</v>
      </c>
      <c r="N49" s="10">
        <f>SUM(B49:M49)</f>
        <v>39</v>
      </c>
      <c r="O49" s="42"/>
    </row>
    <row r="50" spans="1:16" x14ac:dyDescent="0.25">
      <c r="M50" t="s">
        <v>447</v>
      </c>
      <c r="N50" s="10">
        <f>AVERAGE(B49:M49)</f>
        <v>4.875</v>
      </c>
      <c r="O50" s="42">
        <f>SUM(N50*12)/440</f>
        <v>0.13295454545454546</v>
      </c>
      <c r="P50" t="s">
        <v>450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470</v>
      </c>
      <c r="B1" s="25"/>
      <c r="C1" s="25"/>
      <c r="D1" s="25"/>
      <c r="E1" s="25"/>
      <c r="F1" s="25"/>
      <c r="G1" s="25"/>
      <c r="H1" s="25"/>
      <c r="I1" s="25" t="s">
        <v>469</v>
      </c>
      <c r="J1" s="25"/>
      <c r="K1" s="25"/>
      <c r="L1" s="25"/>
      <c r="M1" s="25"/>
      <c r="N1" s="25"/>
      <c r="O1" s="25"/>
    </row>
    <row r="2" spans="1:28" x14ac:dyDescent="0.25">
      <c r="A2" s="43" t="s">
        <v>456</v>
      </c>
      <c r="B2" s="43">
        <v>1</v>
      </c>
      <c r="C2" s="43">
        <v>2</v>
      </c>
      <c r="D2" s="43">
        <v>3</v>
      </c>
      <c r="E2" s="43">
        <v>4</v>
      </c>
      <c r="F2" s="43">
        <v>5</v>
      </c>
      <c r="G2" s="43">
        <v>6</v>
      </c>
      <c r="H2" s="43">
        <v>7</v>
      </c>
      <c r="I2" s="43">
        <v>8</v>
      </c>
      <c r="J2" s="43">
        <v>9</v>
      </c>
      <c r="K2" s="43">
        <v>10</v>
      </c>
      <c r="L2" s="43">
        <v>11</v>
      </c>
      <c r="M2" s="43">
        <v>12</v>
      </c>
      <c r="N2" s="43">
        <v>13</v>
      </c>
      <c r="O2" s="25"/>
    </row>
    <row r="3" spans="1:28" x14ac:dyDescent="0.25">
      <c r="A3" s="25" t="s">
        <v>454</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235</v>
      </c>
      <c r="B5" s="25">
        <v>4508</v>
      </c>
      <c r="C5" s="25"/>
      <c r="D5" s="25">
        <v>2583</v>
      </c>
      <c r="E5" s="25">
        <v>195</v>
      </c>
      <c r="F5" s="25">
        <v>15</v>
      </c>
      <c r="G5" s="25">
        <v>145</v>
      </c>
      <c r="H5" s="25"/>
      <c r="I5" s="25"/>
      <c r="J5" s="25"/>
      <c r="K5" s="25"/>
      <c r="L5" s="25"/>
      <c r="M5" s="25"/>
      <c r="N5" s="25"/>
      <c r="O5" s="25"/>
    </row>
    <row r="6" spans="1:28" x14ac:dyDescent="0.25">
      <c r="A6" s="25" t="s">
        <v>457</v>
      </c>
      <c r="B6" s="25">
        <v>38674</v>
      </c>
      <c r="C6" s="25">
        <v>31798</v>
      </c>
      <c r="D6" s="25">
        <v>1270</v>
      </c>
      <c r="E6" s="25">
        <v>1538</v>
      </c>
      <c r="F6" s="25">
        <v>17.5</v>
      </c>
      <c r="G6" s="25">
        <v>48.4</v>
      </c>
      <c r="H6" s="25">
        <v>5</v>
      </c>
      <c r="I6" s="25">
        <v>182</v>
      </c>
      <c r="J6" s="25"/>
      <c r="K6" s="25"/>
      <c r="L6" s="25"/>
      <c r="M6" s="25"/>
      <c r="N6" s="25"/>
      <c r="O6" s="25"/>
    </row>
    <row r="7" spans="1:28" x14ac:dyDescent="0.25">
      <c r="A7" s="25" t="s">
        <v>428</v>
      </c>
      <c r="B7" s="25">
        <v>11412</v>
      </c>
      <c r="C7" s="25">
        <v>3.07</v>
      </c>
      <c r="D7" s="25">
        <v>1731</v>
      </c>
      <c r="E7" s="25">
        <v>0.46</v>
      </c>
      <c r="F7" s="25">
        <v>133</v>
      </c>
      <c r="G7" s="25"/>
      <c r="H7" s="25"/>
      <c r="I7" s="25"/>
      <c r="J7" s="25"/>
      <c r="K7" s="25"/>
      <c r="L7" s="25"/>
      <c r="M7" s="25"/>
      <c r="N7" s="25"/>
      <c r="O7" s="25"/>
    </row>
    <row r="8" spans="1:28" x14ac:dyDescent="0.25">
      <c r="A8" s="25" t="s">
        <v>458</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459</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460</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227</v>
      </c>
      <c r="B12" s="25">
        <v>2085</v>
      </c>
      <c r="C12" s="25">
        <v>8.4</v>
      </c>
      <c r="D12" s="25">
        <v>2781</v>
      </c>
      <c r="E12" s="25">
        <v>431</v>
      </c>
      <c r="F12" s="25"/>
      <c r="G12" s="25"/>
      <c r="H12" s="25"/>
      <c r="I12" s="25"/>
      <c r="J12" s="25"/>
      <c r="K12" s="25"/>
      <c r="L12" s="25"/>
      <c r="M12" s="25"/>
      <c r="N12" s="25"/>
      <c r="O12" s="25"/>
    </row>
    <row r="13" spans="1:28" x14ac:dyDescent="0.25">
      <c r="A13" s="25" t="s">
        <v>461</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434</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228</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230</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462</v>
      </c>
      <c r="B19" s="25">
        <v>15</v>
      </c>
      <c r="C19" s="25">
        <v>11</v>
      </c>
      <c r="D19" s="25">
        <v>11</v>
      </c>
      <c r="E19" s="25">
        <v>1</v>
      </c>
      <c r="F19" s="25">
        <v>7.1</v>
      </c>
      <c r="G19" s="25">
        <v>0</v>
      </c>
      <c r="H19" s="25">
        <v>745</v>
      </c>
      <c r="I19" s="25"/>
      <c r="J19" s="25"/>
      <c r="K19" s="25"/>
      <c r="L19" s="25"/>
      <c r="M19" s="25"/>
      <c r="N19" s="25"/>
      <c r="O19" s="25"/>
    </row>
    <row r="20" spans="1:15" x14ac:dyDescent="0.25">
      <c r="A20" s="25" t="s">
        <v>463</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233</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229</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464</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232</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471</v>
      </c>
      <c r="B34" s="25"/>
      <c r="C34" s="25"/>
      <c r="D34" s="25"/>
      <c r="E34" s="25"/>
      <c r="F34" s="25"/>
      <c r="G34" s="25"/>
      <c r="H34" s="25"/>
      <c r="I34" s="25" t="s">
        <v>455</v>
      </c>
      <c r="J34" s="25"/>
      <c r="K34" s="25"/>
      <c r="L34" s="25"/>
      <c r="M34" s="25"/>
      <c r="N34" s="25"/>
      <c r="O34" s="25"/>
    </row>
    <row r="35" spans="1:15" x14ac:dyDescent="0.25">
      <c r="A35" s="43" t="s">
        <v>456</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454</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235</v>
      </c>
      <c r="B38" s="25">
        <v>4704</v>
      </c>
      <c r="C38" s="25">
        <v>18.8</v>
      </c>
      <c r="D38" s="25">
        <v>2901</v>
      </c>
      <c r="E38" s="25">
        <v>279</v>
      </c>
      <c r="F38" s="25">
        <v>21</v>
      </c>
      <c r="G38" s="25">
        <v>166</v>
      </c>
      <c r="H38" s="25"/>
      <c r="I38" s="25"/>
      <c r="J38" s="25"/>
      <c r="K38" s="25"/>
      <c r="L38" s="25"/>
      <c r="M38" s="25"/>
      <c r="N38" s="25"/>
      <c r="O38" s="25"/>
    </row>
    <row r="39" spans="1:15" x14ac:dyDescent="0.25">
      <c r="A39" s="25" t="s">
        <v>457</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428</v>
      </c>
      <c r="B40" s="25">
        <v>11756</v>
      </c>
      <c r="C40" s="25">
        <v>3.1</v>
      </c>
      <c r="D40" s="25">
        <v>2065</v>
      </c>
      <c r="E40" s="25">
        <v>0.55000000000000004</v>
      </c>
      <c r="F40" s="25">
        <v>59</v>
      </c>
      <c r="G40" s="25"/>
      <c r="H40" s="25"/>
      <c r="I40" s="25"/>
      <c r="J40" s="25"/>
      <c r="K40" s="25"/>
      <c r="L40" s="25"/>
      <c r="M40" s="25"/>
      <c r="N40" s="25"/>
      <c r="O40" s="25"/>
    </row>
    <row r="41" spans="1:15" x14ac:dyDescent="0.25">
      <c r="A41" s="25" t="s">
        <v>458</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459</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460</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227</v>
      </c>
      <c r="B45" s="25">
        <v>2018</v>
      </c>
      <c r="C45" s="25">
        <v>8.1</v>
      </c>
      <c r="D45" s="25">
        <v>3038</v>
      </c>
      <c r="E45" s="25">
        <v>176</v>
      </c>
      <c r="F45" s="25"/>
      <c r="G45" s="25"/>
      <c r="H45" s="25"/>
      <c r="I45" s="25"/>
      <c r="J45" s="25"/>
      <c r="K45" s="25"/>
      <c r="L45" s="25"/>
      <c r="M45" s="25"/>
      <c r="N45" s="25"/>
      <c r="O45" s="25"/>
    </row>
    <row r="46" spans="1:15" x14ac:dyDescent="0.25">
      <c r="A46" s="25" t="s">
        <v>461</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434</v>
      </c>
      <c r="B47" s="25">
        <v>44</v>
      </c>
      <c r="C47" s="25">
        <v>10.199999999999999</v>
      </c>
      <c r="D47" s="25">
        <v>32</v>
      </c>
      <c r="E47" s="25">
        <v>7.4</v>
      </c>
      <c r="F47" s="25">
        <v>4008</v>
      </c>
      <c r="G47" s="25">
        <v>25606</v>
      </c>
      <c r="H47" s="25"/>
      <c r="I47" s="25"/>
      <c r="J47" s="25"/>
      <c r="K47" s="25"/>
      <c r="L47" s="25"/>
      <c r="M47" s="25"/>
      <c r="N47" s="25"/>
      <c r="O47" s="25"/>
    </row>
    <row r="48" spans="1:15" x14ac:dyDescent="0.25">
      <c r="A48" s="25" t="s">
        <v>228</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230</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462</v>
      </c>
      <c r="B52" s="25">
        <v>23</v>
      </c>
      <c r="C52" s="25">
        <v>21</v>
      </c>
      <c r="D52" s="25">
        <v>19</v>
      </c>
      <c r="E52" s="25">
        <v>17</v>
      </c>
      <c r="F52" s="25">
        <v>0</v>
      </c>
      <c r="G52" s="25">
        <v>0</v>
      </c>
      <c r="H52" s="25">
        <v>0</v>
      </c>
      <c r="I52" s="25">
        <v>1945</v>
      </c>
      <c r="J52" s="25"/>
      <c r="K52" s="25"/>
      <c r="L52" s="25"/>
      <c r="M52" s="25"/>
      <c r="N52" s="25"/>
      <c r="O52" s="25"/>
    </row>
    <row r="53" spans="1:15" x14ac:dyDescent="0.25">
      <c r="A53" s="25" t="s">
        <v>463</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233</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229</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464</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232</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477</v>
      </c>
      <c r="B67" s="25"/>
      <c r="C67" s="25"/>
      <c r="D67" s="25"/>
      <c r="E67" s="25"/>
      <c r="F67" s="25"/>
      <c r="G67" s="25"/>
      <c r="H67" s="25"/>
      <c r="I67" s="25" t="s">
        <v>476</v>
      </c>
      <c r="J67" s="25"/>
      <c r="K67" s="25"/>
      <c r="L67" s="25"/>
      <c r="M67" s="25"/>
      <c r="N67" s="25"/>
      <c r="O67" s="25"/>
    </row>
    <row r="68" spans="1:15" x14ac:dyDescent="0.25">
      <c r="A68" s="43" t="s">
        <v>456</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454</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235</v>
      </c>
      <c r="B71" s="25">
        <v>3925</v>
      </c>
      <c r="C71" s="25">
        <v>15.9</v>
      </c>
      <c r="D71" s="25">
        <v>2052</v>
      </c>
      <c r="E71" s="25">
        <v>340</v>
      </c>
      <c r="F71" s="25">
        <v>50</v>
      </c>
      <c r="G71" s="25">
        <v>132</v>
      </c>
      <c r="H71" s="25"/>
      <c r="I71" s="25"/>
      <c r="J71" s="25"/>
      <c r="K71" s="25"/>
      <c r="L71" s="25"/>
      <c r="M71" s="25"/>
      <c r="N71" s="25"/>
      <c r="O71" s="25"/>
    </row>
    <row r="72" spans="1:15" x14ac:dyDescent="0.25">
      <c r="A72" s="25" t="s">
        <v>457</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428</v>
      </c>
      <c r="B73" s="25">
        <v>12252</v>
      </c>
      <c r="C73" s="25">
        <v>3.3</v>
      </c>
      <c r="D73" s="25">
        <v>2297</v>
      </c>
      <c r="E73" s="25">
        <v>0.62</v>
      </c>
      <c r="F73" s="25">
        <v>47.5</v>
      </c>
      <c r="G73" s="25"/>
      <c r="H73" s="25"/>
      <c r="I73" s="25"/>
      <c r="J73" s="25"/>
      <c r="K73" s="25"/>
      <c r="L73" s="25"/>
      <c r="M73" s="25"/>
      <c r="N73" s="25"/>
      <c r="O73" s="25"/>
    </row>
    <row r="74" spans="1:15" x14ac:dyDescent="0.25">
      <c r="A74" s="25" t="s">
        <v>458</v>
      </c>
      <c r="B74" s="25"/>
      <c r="C74" s="25"/>
      <c r="D74" s="25"/>
      <c r="E74" s="25"/>
      <c r="F74" s="25"/>
      <c r="G74" s="25"/>
      <c r="H74" s="25"/>
      <c r="I74" s="25"/>
      <c r="J74" s="25"/>
      <c r="K74" s="25"/>
      <c r="L74" s="25"/>
      <c r="M74" s="25"/>
      <c r="N74" s="25"/>
      <c r="O74" s="25"/>
    </row>
    <row r="75" spans="1:15" x14ac:dyDescent="0.25">
      <c r="A75" s="25" t="s">
        <v>459</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460</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227</v>
      </c>
      <c r="B78" s="25">
        <v>1988</v>
      </c>
      <c r="C78" s="25">
        <v>8.07</v>
      </c>
      <c r="D78" s="25">
        <v>2672</v>
      </c>
      <c r="E78" s="25">
        <v>147</v>
      </c>
      <c r="F78" s="25"/>
      <c r="G78" s="25"/>
      <c r="H78" s="25"/>
      <c r="I78" s="25"/>
      <c r="J78" s="25"/>
      <c r="K78" s="25"/>
      <c r="L78" s="25"/>
      <c r="M78" s="25"/>
      <c r="N78" s="25"/>
      <c r="O78" s="25"/>
    </row>
    <row r="79" spans="1:15" x14ac:dyDescent="0.25">
      <c r="A79" s="25" t="s">
        <v>461</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434</v>
      </c>
      <c r="B80" s="25">
        <v>38</v>
      </c>
      <c r="C80" s="25">
        <v>9.0500000000000007</v>
      </c>
      <c r="D80" s="25">
        <v>31</v>
      </c>
      <c r="E80" s="25">
        <v>7.48</v>
      </c>
      <c r="F80" s="25">
        <v>3227</v>
      </c>
      <c r="G80" s="25">
        <v>26989</v>
      </c>
      <c r="H80" s="25"/>
      <c r="I80" s="25"/>
      <c r="J80" s="25"/>
      <c r="K80" s="25"/>
      <c r="L80" s="25"/>
      <c r="M80" s="25"/>
      <c r="N80" s="25"/>
      <c r="O80" s="25"/>
    </row>
    <row r="81" spans="1:15" x14ac:dyDescent="0.25">
      <c r="A81" s="25" t="s">
        <v>228</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230</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462</v>
      </c>
      <c r="B85" s="25">
        <v>14</v>
      </c>
      <c r="C85" s="25">
        <v>14</v>
      </c>
      <c r="D85" s="25">
        <v>15</v>
      </c>
      <c r="E85" s="25">
        <v>14</v>
      </c>
      <c r="F85" s="25">
        <v>0</v>
      </c>
      <c r="G85" s="25">
        <v>0</v>
      </c>
      <c r="H85" s="25">
        <v>1240</v>
      </c>
      <c r="I85" s="25">
        <v>3.3</v>
      </c>
      <c r="J85" s="25">
        <v>3.3</v>
      </c>
      <c r="K85" s="25"/>
      <c r="L85" s="25"/>
      <c r="M85" s="25"/>
      <c r="N85" s="25"/>
      <c r="O85" s="25"/>
    </row>
    <row r="86" spans="1:15" x14ac:dyDescent="0.25">
      <c r="A86" s="25" t="s">
        <v>463</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233</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229</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464</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232</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495</v>
      </c>
      <c r="B101" s="25"/>
      <c r="C101" s="25"/>
      <c r="D101" s="25"/>
      <c r="E101" s="25"/>
      <c r="F101" s="25"/>
      <c r="G101" s="25"/>
      <c r="H101" s="25"/>
      <c r="I101" s="25" t="s">
        <v>494</v>
      </c>
      <c r="J101" s="25"/>
      <c r="K101" s="25"/>
      <c r="L101" s="25"/>
      <c r="M101" s="25"/>
      <c r="N101" s="25"/>
      <c r="O101" s="25"/>
    </row>
    <row r="102" spans="1:15" x14ac:dyDescent="0.25">
      <c r="A102" s="43" t="s">
        <v>456</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454</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235</v>
      </c>
      <c r="B105" s="25">
        <v>3690</v>
      </c>
      <c r="C105" s="25">
        <v>14.9</v>
      </c>
      <c r="D105" s="25">
        <v>1755</v>
      </c>
      <c r="E105" s="25">
        <v>309</v>
      </c>
      <c r="F105" s="25">
        <v>22</v>
      </c>
      <c r="G105" s="25">
        <v>185</v>
      </c>
      <c r="H105" s="25"/>
      <c r="I105" s="25"/>
      <c r="J105" s="25"/>
      <c r="K105" s="25"/>
      <c r="L105" s="25"/>
      <c r="M105" s="25"/>
      <c r="N105" s="25"/>
      <c r="O105" s="25"/>
    </row>
    <row r="106" spans="1:15" x14ac:dyDescent="0.25">
      <c r="A106" s="25" t="s">
        <v>457</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428</v>
      </c>
      <c r="B107" s="25">
        <v>11609</v>
      </c>
      <c r="C107" s="25">
        <v>3.15</v>
      </c>
      <c r="D107" s="25">
        <v>2504</v>
      </c>
      <c r="E107" s="25">
        <v>0.68</v>
      </c>
      <c r="F107" s="25">
        <v>32.1</v>
      </c>
      <c r="G107" s="25"/>
      <c r="H107" s="25"/>
      <c r="I107" s="25"/>
      <c r="J107" s="25"/>
      <c r="K107" s="25"/>
      <c r="L107" s="25"/>
      <c r="M107" s="25"/>
      <c r="N107" s="25"/>
      <c r="O107" s="25"/>
    </row>
    <row r="108" spans="1:15" x14ac:dyDescent="0.25">
      <c r="A108" s="25" t="s">
        <v>458</v>
      </c>
      <c r="B108" s="25"/>
      <c r="C108" s="25"/>
      <c r="D108" s="25"/>
      <c r="E108" s="25"/>
      <c r="F108" s="25"/>
      <c r="G108" s="25"/>
      <c r="H108" s="25"/>
      <c r="I108" s="25"/>
      <c r="J108" s="25"/>
      <c r="K108" s="25"/>
      <c r="L108" s="25"/>
      <c r="M108" s="25"/>
      <c r="N108" s="25"/>
      <c r="O108" s="25"/>
    </row>
    <row r="109" spans="1:15" x14ac:dyDescent="0.25">
      <c r="A109" s="25" t="s">
        <v>459</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460</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227</v>
      </c>
      <c r="B112" s="25">
        <v>1920</v>
      </c>
      <c r="C112" s="25">
        <v>7.79</v>
      </c>
      <c r="D112" s="25">
        <v>3209</v>
      </c>
      <c r="E112" s="25">
        <v>261</v>
      </c>
      <c r="F112" s="25"/>
      <c r="G112" s="25"/>
      <c r="H112" s="25"/>
      <c r="I112" s="25"/>
      <c r="J112" s="25"/>
      <c r="K112" s="25"/>
      <c r="L112" s="25"/>
      <c r="M112" s="25"/>
      <c r="N112" s="25"/>
      <c r="O112" s="25"/>
    </row>
    <row r="113" spans="1:15" x14ac:dyDescent="0.25">
      <c r="A113" s="25" t="s">
        <v>461</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434</v>
      </c>
      <c r="B114" s="25">
        <v>47</v>
      </c>
      <c r="C114" s="25">
        <v>11.3</v>
      </c>
      <c r="D114" s="25">
        <v>31</v>
      </c>
      <c r="E114" s="25">
        <v>7.3</v>
      </c>
      <c r="F114" s="25">
        <v>2491</v>
      </c>
      <c r="G114" s="25">
        <v>22151</v>
      </c>
      <c r="H114" s="25"/>
      <c r="I114" s="25"/>
      <c r="J114" s="25"/>
      <c r="K114" s="25"/>
      <c r="L114" s="25"/>
      <c r="M114" s="25"/>
      <c r="N114" s="25"/>
      <c r="O114" s="25"/>
    </row>
    <row r="115" spans="1:15" x14ac:dyDescent="0.25">
      <c r="A115" s="25" t="s">
        <v>228</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230</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462</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463</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233</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229</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464</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232</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496</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purl.org/dc/elements/1.1/"/>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2018-08-14T20:39:05Z</cp:lastPrinted>
  <dcterms:created xsi:type="dcterms:W3CDTF">2006-08-14T17:37:49Z</dcterms:created>
  <dcterms:modified xsi:type="dcterms:W3CDTF">2019-03-19T20:54:14Z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