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008" windowWidth="11352" windowHeight="7488" firstSheet="1" activeTab="1"/>
  </bookViews>
  <sheets>
    <sheet name="Code Sheet" sheetId="2" r:id="rId1"/>
    <sheet name="Report" sheetId="1" r:id="rId2"/>
    <sheet name="SRT Data" sheetId="3" r:id="rId3"/>
    <sheet name="Efficiency Calculations" sheetId="4" r:id="rId4"/>
    <sheet name=" " sheetId="5" r:id="rId5"/>
  </sheets>
  <calcPr calcId="145621"/>
</workbook>
</file>

<file path=xl/calcChain.xml><?xml version="1.0" encoding="utf-8"?>
<calcChain xmlns="http://schemas.openxmlformats.org/spreadsheetml/2006/main">
  <c r="T27" i="4" l="1"/>
  <c r="T22" i="4"/>
  <c r="S22" i="4" l="1"/>
  <c r="S27" i="4"/>
  <c r="R27" i="4" l="1"/>
  <c r="R22" i="4"/>
  <c r="Q22" i="4"/>
  <c r="R21" i="4"/>
  <c r="Q21" i="4"/>
  <c r="P21" i="4"/>
  <c r="O21" i="4"/>
  <c r="N21" i="4"/>
  <c r="M21" i="4"/>
  <c r="P22" i="4" l="1"/>
  <c r="Q27" i="4" l="1"/>
  <c r="P27" i="4"/>
  <c r="O22" i="4" l="1"/>
  <c r="N22" i="4" l="1"/>
  <c r="M22" i="4" l="1"/>
  <c r="N20" i="4"/>
  <c r="N19" i="4"/>
  <c r="G18" i="1" l="1"/>
  <c r="N45" i="4" l="1"/>
  <c r="N49" i="4"/>
  <c r="J15" i="1" l="1"/>
  <c r="C135" i="5" l="1"/>
  <c r="D135" i="5"/>
  <c r="E135" i="5"/>
  <c r="F135" i="5"/>
  <c r="G135" i="5"/>
  <c r="B135" i="5"/>
  <c r="A9" i="2"/>
  <c r="A10" i="2" s="1"/>
  <c r="A11" i="2" s="1"/>
  <c r="A12" i="2" s="1"/>
  <c r="A13" i="2" s="1"/>
  <c r="A14" i="2" s="1"/>
  <c r="A15" i="2" s="1"/>
  <c r="A16" i="2" s="1"/>
  <c r="A17" i="2" s="1"/>
  <c r="H18" i="1"/>
  <c r="Q14" i="5"/>
  <c r="R14" i="5"/>
  <c r="S14" i="5"/>
  <c r="T14" i="5"/>
  <c r="U14" i="5"/>
  <c r="V14" i="5"/>
  <c r="W14" i="5"/>
  <c r="X14" i="5"/>
  <c r="Y14" i="5"/>
  <c r="Z14" i="5"/>
  <c r="AA14" i="5"/>
  <c r="AB14" i="5"/>
  <c r="P14" i="5"/>
  <c r="A23" i="1" l="1"/>
  <c r="A19" i="1"/>
  <c r="A18" i="2"/>
  <c r="A19" i="2" s="1"/>
  <c r="A20" i="2" s="1"/>
  <c r="A21" i="2" s="1"/>
  <c r="A22" i="2" s="1"/>
  <c r="A23" i="2" s="1"/>
  <c r="A24" i="2" s="1"/>
  <c r="A25" i="2" s="1"/>
  <c r="A26" i="2" s="1"/>
  <c r="A27" i="2" s="1"/>
  <c r="A28" i="2" s="1"/>
  <c r="A29" i="2" s="1"/>
  <c r="A30" i="2" s="1"/>
  <c r="A17" i="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1  Agri-Civic Center
2  Airport
3  Animal Control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<sst xmlns="http://schemas.openxmlformats.org/spreadsheetml/2006/main" count="771" uniqueCount="553">
  <si>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</si>
  <si>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</si>
  <si>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</si>
  <si>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</si>
  <si>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</si>
  <si>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</si>
  <si>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</si>
  <si>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</si>
  <si>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</si>
  <si>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</si>
  <si>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</si>
  <si>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</si>
  <si>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</si>
  <si>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</si>
  <si>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</si>
  <si>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</si>
  <si>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</si>
  <si>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</si>
  <si>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</si>
  <si>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</si>
  <si>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</si>
  <si>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</si>
  <si>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</si>
  <si>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</si>
  <si>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</si>
  <si>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</si>
  <si>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</si>
  <si>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</si>
  <si>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</si>
  <si>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</si>
  <si>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</si>
  <si>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</si>
  <si>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</si>
  <si>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</si>
  <si>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</si>
  <si>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</si>
  <si>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</si>
  <si>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</si>
  <si>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</si>
  <si>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</si>
  <si>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</si>
  <si>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</si>
  <si>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</si>
  <si>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</si>
  <si>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</si>
  <si>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</si>
  <si>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</si>
  <si>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</si>
  <si>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</si>
  <si>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</si>
  <si>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</si>
  <si>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</si>
  <si>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</si>
  <si>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</si>
  <si>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</si>
  <si>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</si>
  <si>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</si>
  <si>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</si>
  <si>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</si>
  <si>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</si>
  <si>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</si>
  <si>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</si>
  <si>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</si>
  <si>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</si>
  <si>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</si>
  <si>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</si>
  <si>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</si>
  <si>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</si>
  <si>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</si>
  <si>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</si>
  <si>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</si>
  <si>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</si>
  <si>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</si>
  <si>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</si>
  <si>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</si>
  <si>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</si>
  <si>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</si>
  <si>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</si>
  <si>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</si>
  <si>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</si>
  <si>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</si>
  <si>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</si>
  <si>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</si>
  <si>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</si>
  <si>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</si>
  <si>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</si>
  <si>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</si>
  <si>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</si>
  <si>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</si>
  <si>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</si>
  <si>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</si>
  <si>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</si>
  <si>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</si>
  <si>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</si>
  <si>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</si>
  <si>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</si>
  <si>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</si>
  <si>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</si>
  <si>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</si>
  <si>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</si>
  <si>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</si>
  <si>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</si>
  <si>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</si>
  <si>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</si>
  <si>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</si>
  <si>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</si>
  <si>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</si>
  <si>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</si>
  <si>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</si>
  <si>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</si>
  <si>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</si>
  <si>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</si>
  <si>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</si>
  <si>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</si>
  <si>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</si>
  <si>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</si>
  <si>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</si>
  <si>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</si>
  <si>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</si>
  <si>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</si>
  <si>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</si>
  <si>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</si>
  <si>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</si>
  <si>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</si>
  <si>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</si>
  <si>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</si>
  <si>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</si>
  <si>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</si>
  <si>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</si>
  <si>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</si>
  <si>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</si>
  <si>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</si>
  <si>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</si>
  <si>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</si>
  <si>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</si>
  <si>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</si>
  <si>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</si>
  <si>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</si>
  <si>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</si>
  <si>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</si>
  <si>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</si>
  <si>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</si>
  <si>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</si>
  <si>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</si>
  <si>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</si>
  <si>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</si>
  <si>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</si>
  <si>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</si>
  <si>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</si>
  <si>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</si>
  <si>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</si>
  <si>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</si>
  <si>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</si>
  <si>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</si>
  <si>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</si>
  <si>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</si>
  <si>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</si>
  <si>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</si>
  <si>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</si>
  <si>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</si>
  <si>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</si>
  <si>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</si>
  <si>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</si>
  <si>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</si>
  <si>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</si>
  <si>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</si>
  <si>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</si>
  <si>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</si>
  <si>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</si>
  <si>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</si>
  <si>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</si>
  <si>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</si>
  <si>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</si>
  <si>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</si>
  <si>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</si>
  <si>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</si>
  <si>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</si>
  <si>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</si>
  <si>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</si>
  <si>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</si>
  <si>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</si>
  <si>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</si>
  <si>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</si>
  <si>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</si>
  <si>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</si>
  <si>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</si>
  <si>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</si>
  <si>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</si>
  <si>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</si>
  <si>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</si>
  <si>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</si>
  <si>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</si>
  <si>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</si>
  <si>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</si>
  <si>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</si>
  <si>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</si>
  <si>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</si>
  <si>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</si>
  <si>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</si>
  <si>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</si>
  <si>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</si>
  <si>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</si>
  <si>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</si>
  <si>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</si>
  <si>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</si>
  <si>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</si>
  <si>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</si>
  <si>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</si>
  <si>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</si>
  <si>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</si>
  <si>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</si>
  <si>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</si>
  <si>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</si>
  <si>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</si>
  <si>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</si>
  <si>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</si>
  <si>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</si>
  <si>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</si>
  <si>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</si>
  <si>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</si>
  <si>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</si>
  <si>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</si>
  <si>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</si>
  <si>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</si>
  <si>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</si>
  <si>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</si>
  <si>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</si>
  <si>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</si>
  <si>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</si>
  <si>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</si>
  <si>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</si>
  <si>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</si>
  <si>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</si>
  <si>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</si>
  <si>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</si>
  <si>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</si>
  <si>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</si>
  <si>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</si>
  <si>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</si>
  <si>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</si>
  <si>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</si>
  <si>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</si>
  <si>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</si>
  <si>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</si>
  <si>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</si>
  <si>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</si>
  <si>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</si>
  <si>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</si>
  <si>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</si>
  <si>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</si>
  <si>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</si>
  <si>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</si>
  <si>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</si>
  <si>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</si>
  <si>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</si>
  <si>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</si>
  <si>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</si>
  <si>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</si>
  <si>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</si>
  <si>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</si>
  <si>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</si>
  <si>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</si>
  <si>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</si>
  <si>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</si>
  <si>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</si>
  <si>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</si>
  <si>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</si>
  <si>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</si>
  <si>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</si>
  <si>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</si>
  <si>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</si>
  <si>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</si>
  <si>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</si>
  <si>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</si>
  <si>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</si>
  <si>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</si>
  <si>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</si>
  <si>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</si>
  <si>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</si>
  <si>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</si>
  <si>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</si>
  <si>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</si>
  <si>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</si>
  <si>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</si>
  <si>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</si>
  <si>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</si>
  <si>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</si>
  <si>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</si>
  <si>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</si>
  <si>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</si>
  <si>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</si>
  <si>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</si>
  <si>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</si>
  <si>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</si>
  <si>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</si>
  <si>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</si>
  <si>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</si>
  <si>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</si>
  <si>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</si>
  <si>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</si>
  <si>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</si>
  <si>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</si>
  <si>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</si>
  <si>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</si>
  <si>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</si>
  <si>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</si>
  <si>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</si>
  <si>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</si>
  <si>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</si>
  <si>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</si>
  <si>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</si>
  <si>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</si>
  <si>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</si>
  <si>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</si>
  <si>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</si>
  <si>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</si>
  <si>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</si>
  <si>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</si>
  <si>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</si>
  <si>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</si>
  <si>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</si>
  <si>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</si>
  <si>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</si>
  <si>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</si>
  <si>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</si>
  <si>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</si>
  <si>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</si>
  <si>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</si>
  <si>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</si>
  <si>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</si>
  <si>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</si>
  <si>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</si>
  <si>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</si>
  <si>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</si>
  <si>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</si>
  <si>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</si>
  <si>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</si>
  <si>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</si>
  <si>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</si>
  <si>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</si>
  <si>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</si>
  <si>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</si>
  <si>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</si>
  <si>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</si>
  <si>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</si>
  <si>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</si>
  <si>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</si>
  <si>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</si>
  <si>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</si>
  <si>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</si>
  <si>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</si>
  <si>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</si>
  <si>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</si>
  <si>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</si>
  <si>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</si>
  <si>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</si>
  <si>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</si>
  <si>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</si>
  <si>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</si>
  <si>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</si>
  <si>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</si>
  <si>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</si>
  <si>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</si>
  <si>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</si>
  <si>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</si>
  <si>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</si>
  <si>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</si>
  <si>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</si>
  <si>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</si>
  <si>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</si>
  <si>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</si>
  <si>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</si>
  <si>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</si>
  <si>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</si>
  <si>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</si>
  <si>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</si>
  <si>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</si>
  <si>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</si>
  <si>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</si>
  <si>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</si>
  <si>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</si>
  <si>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</si>
  <si>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</si>
  <si>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</si>
  <si>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</si>
  <si>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</si>
  <si>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</si>
  <si>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</si>
  <si>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</si>
  <si>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</si>
  <si>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</si>
  <si>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</si>
  <si>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</si>
  <si>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</si>
  <si>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</si>
  <si>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</si>
  <si>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</si>
  <si>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</si>
  <si>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</si>
  <si>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</si>
  <si>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</si>
  <si>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</si>
  <si>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</si>
  <si>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</si>
  <si>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</si>
  <si>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</si>
  <si>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</si>
  <si>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</si>
  <si>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</si>
  <si>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</si>
  <si>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</si>
  <si>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</si>
  <si>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</si>
  <si>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</si>
  <si>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</si>
  <si>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</si>
  <si>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</si>
  <si>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</si>
  <si>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</si>
  <si>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</si>
  <si>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</si>
  <si>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</si>
  <si>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</si>
  <si>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</si>
  <si>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</si>
  <si>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</si>
  <si>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</si>
  <si>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</si>
  <si>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</si>
  <si>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</si>
  <si>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</si>
  <si>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</si>
  <si>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</si>
  <si>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</si>
  <si>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</si>
  <si>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</si>
  <si>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</si>
  <si>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</si>
  <si>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</si>
  <si>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</si>
  <si>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</si>
  <si>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</si>
  <si>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</si>
  <si>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</si>
  <si>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</si>
  <si>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</si>
  <si>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</si>
  <si>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</si>
  <si>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</si>
  <si>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</si>
  <si>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</si>
  <si>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</si>
  <si>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</si>
  <si>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</si>
  <si>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</si>
  <si>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</si>
  <si>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</si>
  <si>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</si>
  <si>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</si>
  <si>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</si>
  <si>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</si>
  <si>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</si>
  <si>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</si>
  <si>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</si>
  <si>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</si>
  <si>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</si>
  <si>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</si>
  <si>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</si>
  <si>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</si>
  <si>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</si>
  <si>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</si>
  <si>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</si>
  <si>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</si>
  <si>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</si>
  <si>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</si>
  <si>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</si>
  <si>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</si>
  <si>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</si>
  <si>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</si>
  <si>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</si>
  <si>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</si>
  <si>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</si>
  <si>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</si>
  <si>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</si>
  <si>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</si>
  <si>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</si>
  <si>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</si>
  <si>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</si>
  <si>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</si>
  <si>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</si>
  <si>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</si>
  <si>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</si>
  <si>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</si>
  <si>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</si>
  <si>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</si>
  <si>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</si>
  <si>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</si>
  <si>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</si>
  <si>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</si>
  <si>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</si>
  <si>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</si>
  <si>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</si>
  <si>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</si>
  <si>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</si>
  <si>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</si>
  <si>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</si>
  <si>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</si>
  <si>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</si>
  <si>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</si>
  <si>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</si>
  <si>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</si>
  <si>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</si>
  <si>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</si>
  <si>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</si>
  <si>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</si>
  <si>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</si>
  <si>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</si>
  <si>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</si>
  <si>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</si>
  <si>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</si>
  <si>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</si>
  <si>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</si>
  <si>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</si>
  <si>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</si>
  <si>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</si>
  <si>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</si>
  <si>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</si>
  <si>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</si>
  <si>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</si>
  <si>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</si>
  <si>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</si>
  <si>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</si>
  <si>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History Center school based tours</t>
  </si>
  <si>
    <t># Claims &amp; other written action submitted</t>
  </si>
  <si>
    <t>#Claims/written actions per day</t>
  </si>
  <si>
    <t xml:space="preserve">   </t>
  </si>
  <si>
    <t># Dogs euthanized</t>
  </si>
  <si>
    <t># Cats euthanized</t>
  </si>
  <si>
    <t>63,069 (July 1, 2018)</t>
  </si>
  <si>
    <r>
      <t xml:space="preserve"># Work orders received </t>
    </r>
    <r>
      <rPr>
        <sz val="7"/>
        <rFont val="Times New Roman"/>
        <family val="1"/>
      </rPr>
      <t>(</t>
    </r>
    <r>
      <rPr>
        <sz val="5"/>
        <rFont val="Times New Roman"/>
        <family val="1"/>
      </rPr>
      <t>entered in online system</t>
    </r>
    <r>
      <rPr>
        <sz val="7"/>
        <rFont val="Times New Roman"/>
        <family val="1"/>
      </rPr>
      <t>)</t>
    </r>
  </si>
  <si>
    <t xml:space="preserve">May </t>
  </si>
  <si>
    <t xml:space="preserve">Apr </t>
  </si>
  <si>
    <t>Cost per participant per day</t>
  </si>
  <si>
    <t>Cost per month</t>
  </si>
  <si>
    <t>Avg. cost per participant per day</t>
  </si>
  <si>
    <t># Avg. clients served per day at Albemarle Senior Ctr</t>
  </si>
  <si>
    <t xml:space="preserve"># Avg. clients served per day at West Stanly Senior Ctr </t>
  </si>
  <si>
    <t>Avg. participants per day West Sr. Ctr.</t>
  </si>
  <si>
    <t>Avg participant per day Alb Sr. Ctr.</t>
  </si>
  <si>
    <t>Annual Albemarle Sr. Center Budget (less trips and W Stanly contract)</t>
  </si>
  <si>
    <t xml:space="preserve">Annual West Sr. Ctr budget </t>
  </si>
  <si>
    <t># Clients served at Albemarle (Center Activities)</t>
  </si>
  <si>
    <t># Clients served at West Stanly (Center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</si>
</sst>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quot;$&quot;#,##0.00"/>
    <numFmt numFmtId="167" formatCode="&quot;$&quot;#,##0"/>
  </numFmts>
  <fonts count="35"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0.5"/>
      <name val="Cambria"/>
      <family val="1"/>
      <scheme val="major"/>
    </font>
    <font>
      <sz val="10"/>
      <name val="Cambria"/>
      <family val="1"/>
      <scheme val="major"/>
    </font>
    <font>
      <b/>
      <sz val="9.5"/>
      <name val="Cambria"/>
      <family val="1"/>
      <scheme val="major"/>
    </font>
    <font>
      <sz val="9.5"/>
      <name val="Cambria"/>
      <family val="1"/>
      <scheme val="major"/>
    </font>
    <font>
      <b/>
      <sz val="12"/>
      <name val="Cambria"/>
      <family val="1"/>
      <scheme val="major"/>
    </font>
    <font>
      <b/>
      <u/>
      <sz val="9.5"/>
      <name val="Cambria"/>
      <family val="1"/>
      <scheme val="major"/>
    </font>
    <font>
      <sz val="10"/>
      <name val="Pristina"/>
      <family val="4"/>
    </font>
    <font>
      <b/>
      <sz val="30"/>
      <name val="Pristina"/>
      <family val="4"/>
    </font>
    <font>
      <b/>
      <sz val="25"/>
      <name val="Pristina"/>
      <family val="4"/>
    </font>
    <font>
      <sz val="25"/>
      <name val="Pristina"/>
      <family val="4"/>
    </font>
    <font>
      <sz val="25"/>
      <name val="Times New Roman"/>
      <family val="1"/>
    </font>
    <font>
      <sz val="7"/>
      <name val="Times New Roman"/>
      <family val="1"/>
    </font>
    <font>
      <sz val="5"/>
      <name val="Times New Roman"/>
      <family val="1"/>
    </font>
    <font>
      <u/>
      <sz val="10"/>
      <name val="Arial"/>
      <family val="2"/>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2"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style="medium">
        <color indexed="64"/>
      </right>
      <top/>
      <bottom/>
      <diagonal/>
    </border>
    <border>
      <left/>
      <right/>
      <top style="medium">
        <color indexed="64"/>
      </top>
      <bottom/>
      <diagonal/>
    </border>
    <border>
      <left style="thick">
        <color rgb="FF368ED6"/>
      </left>
      <right/>
      <top style="thick">
        <color rgb="FF368ED6"/>
      </top>
      <bottom style="medium">
        <color theme="3" tint="-0.499984740745262"/>
      </bottom>
      <diagonal/>
    </border>
    <border>
      <left/>
      <right/>
      <top style="thick">
        <color rgb="FF368ED6"/>
      </top>
      <bottom style="medium">
        <color theme="3" tint="-0.499984740745262"/>
      </bottom>
      <diagonal/>
    </border>
    <border>
      <left/>
      <right/>
      <top style="thick">
        <color rgb="FF368ED6"/>
      </top>
      <bottom/>
      <diagonal/>
    </border>
    <border>
      <left/>
      <right style="thick">
        <color rgb="FF368ED6"/>
      </right>
      <top style="thick">
        <color rgb="FF368ED6"/>
      </top>
      <bottom/>
      <diagonal/>
    </border>
    <border>
      <left style="thick">
        <color rgb="FF368ED6"/>
      </left>
      <right/>
      <top/>
      <bottom/>
      <diagonal/>
    </border>
    <border>
      <left/>
      <right style="thick">
        <color rgb="FF368ED6"/>
      </right>
      <top style="medium">
        <color indexed="64"/>
      </top>
      <bottom/>
      <diagonal/>
    </border>
    <border>
      <left/>
      <right style="thick">
        <color rgb="FF368ED6"/>
      </right>
      <top/>
      <bottom/>
      <diagonal/>
    </border>
    <border>
      <left style="thick">
        <color rgb="FF368ED6"/>
      </left>
      <right/>
      <top/>
      <bottom style="thick">
        <color rgb="FF368ED6"/>
      </bottom>
      <diagonal/>
    </border>
    <border>
      <left/>
      <right/>
      <top/>
      <bottom style="thick">
        <color rgb="FF368ED6"/>
      </bottom>
      <diagonal/>
    </border>
    <border>
      <left/>
      <right style="thick">
        <color rgb="FF368ED6"/>
      </right>
      <top/>
      <bottom style="thick">
        <color rgb="FF368ED6"/>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25">
    <xf numFmtId="0" fontId="0" fillId="0" borderId="0" xfId="0"/>
    <xf numFmtId="0" fontId="2" fillId="0" borderId="0" xfId="0" applyFont="1" applyAlignment="1">
      <alignment vertical="top"/>
    </xf>
    <xf numFmtId="0" fontId="1" fillId="2" borderId="0" xfId="0" applyFont="1" applyFill="1"/>
    <xf numFmtId="0" fontId="2" fillId="0" borderId="0" xfId="0" applyFont="1" applyFill="1" applyAlignment="1">
      <alignment vertical="top"/>
    </xf>
    <xf numFmtId="0" fontId="1" fillId="2"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18" fillId="0" borderId="0" xfId="0" applyFont="1"/>
    <xf numFmtId="0" fontId="15" fillId="0" borderId="0" xfId="0" applyFont="1" applyAlignment="1">
      <alignment horizontal="left"/>
    </xf>
    <xf numFmtId="0" fontId="0" fillId="4" borderId="0" xfId="0" applyFill="1"/>
    <xf numFmtId="164" fontId="0" fillId="0" borderId="0" xfId="0" applyNumberFormat="1" applyAlignment="1">
      <alignment horizontal="center"/>
    </xf>
    <xf numFmtId="0" fontId="19" fillId="3"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0" fontId="25" fillId="5" borderId="0" xfId="0" applyFont="1" applyFill="1" applyAlignment="1">
      <alignment vertical="top"/>
    </xf>
    <xf numFmtId="0" fontId="0" fillId="6" borderId="0" xfId="0" applyFill="1"/>
    <xf numFmtId="1" fontId="0" fillId="6" borderId="0" xfId="0" applyNumberFormat="1" applyFill="1"/>
    <xf numFmtId="2" fontId="0" fillId="6" borderId="0" xfId="0" applyNumberFormat="1" applyFill="1"/>
    <xf numFmtId="0" fontId="25" fillId="5" borderId="0" xfId="0" applyFont="1" applyFill="1" applyBorder="1" applyAlignment="1" applyProtection="1">
      <alignment vertical="top"/>
      <protection locked="0"/>
    </xf>
    <xf numFmtId="0" fontId="2" fillId="7" borderId="0" xfId="0" applyFont="1" applyFill="1" applyAlignment="1">
      <alignment vertical="top"/>
    </xf>
    <xf numFmtId="0" fontId="3" fillId="7" borderId="0" xfId="0" applyFont="1" applyFill="1" applyAlignment="1">
      <alignment horizontal="center" vertical="top"/>
    </xf>
    <xf numFmtId="0" fontId="4" fillId="7" borderId="0" xfId="0" applyFont="1" applyFill="1" applyAlignment="1">
      <alignment vertical="top"/>
    </xf>
    <xf numFmtId="0" fontId="20" fillId="7" borderId="0" xfId="0" applyFont="1" applyFill="1" applyAlignment="1">
      <alignment vertical="top"/>
    </xf>
    <xf numFmtId="0" fontId="5" fillId="7" borderId="0" xfId="0" applyFont="1" applyFill="1" applyAlignment="1">
      <alignment vertical="top"/>
    </xf>
    <xf numFmtId="0" fontId="3" fillId="7" borderId="0" xfId="0" applyFont="1" applyFill="1" applyBorder="1" applyAlignment="1">
      <alignment horizontal="center" vertical="top"/>
    </xf>
    <xf numFmtId="0" fontId="21" fillId="7" borderId="0" xfId="0" applyFont="1" applyFill="1" applyAlignment="1">
      <alignment vertical="top"/>
    </xf>
    <xf numFmtId="0" fontId="22" fillId="7" borderId="0" xfId="0" applyFont="1" applyFill="1" applyAlignment="1">
      <alignment vertical="top"/>
    </xf>
    <xf numFmtId="0" fontId="0" fillId="7" borderId="0" xfId="0" applyFill="1"/>
    <xf numFmtId="0" fontId="23" fillId="8" borderId="3" xfId="0" applyFont="1" applyFill="1" applyBorder="1" applyAlignment="1">
      <alignment vertical="top"/>
    </xf>
    <xf numFmtId="0" fontId="23" fillId="8" borderId="4" xfId="0" applyFont="1" applyFill="1" applyBorder="1" applyAlignment="1">
      <alignment vertical="top"/>
    </xf>
    <xf numFmtId="0" fontId="24" fillId="8" borderId="4" xfId="0" applyFont="1" applyFill="1" applyBorder="1" applyAlignment="1">
      <alignment vertical="top"/>
    </xf>
    <xf numFmtId="0" fontId="24" fillId="8" borderId="5" xfId="0" applyFont="1" applyFill="1" applyBorder="1" applyAlignment="1">
      <alignment vertical="top"/>
    </xf>
    <xf numFmtId="0" fontId="24" fillId="8" borderId="6" xfId="0" applyFont="1" applyFill="1" applyBorder="1" applyAlignment="1">
      <alignment vertical="top"/>
    </xf>
    <xf numFmtId="0" fontId="24" fillId="8" borderId="7" xfId="0" applyFont="1" applyFill="1" applyBorder="1" applyAlignment="1">
      <alignment vertical="top"/>
    </xf>
    <xf numFmtId="0" fontId="24" fillId="8" borderId="0" xfId="0" applyFont="1" applyFill="1" applyBorder="1" applyAlignment="1">
      <alignment vertical="top"/>
    </xf>
    <xf numFmtId="0" fontId="26" fillId="8" borderId="2" xfId="0" applyFont="1" applyFill="1" applyBorder="1" applyAlignment="1">
      <alignment horizontal="center" vertical="top"/>
    </xf>
    <xf numFmtId="0" fontId="26" fillId="8" borderId="8" xfId="0" applyFont="1" applyFill="1" applyBorder="1" applyAlignment="1">
      <alignment horizontal="center" vertical="top"/>
    </xf>
    <xf numFmtId="0" fontId="23" fillId="8" borderId="0" xfId="0" applyNumberFormat="1" applyFont="1" applyFill="1" applyBorder="1" applyAlignment="1" applyProtection="1">
      <alignment horizontal="center" vertical="top"/>
      <protection locked="0"/>
    </xf>
    <xf numFmtId="0" fontId="23" fillId="8" borderId="0" xfId="0" applyFont="1" applyFill="1" applyBorder="1" applyAlignment="1">
      <alignment horizontal="center" vertical="top"/>
    </xf>
    <xf numFmtId="9" fontId="23" fillId="8" borderId="9" xfId="0" applyNumberFormat="1" applyFont="1" applyFill="1" applyBorder="1" applyAlignment="1">
      <alignment horizontal="center" vertical="top"/>
    </xf>
    <xf numFmtId="0" fontId="23" fillId="8" borderId="11" xfId="0" applyNumberFormat="1" applyFont="1" applyFill="1" applyBorder="1" applyAlignment="1" applyProtection="1">
      <alignment horizontal="center" vertical="top"/>
      <protection locked="0"/>
    </xf>
    <xf numFmtId="0" fontId="23" fillId="8" borderId="11" xfId="0" applyFont="1" applyFill="1" applyBorder="1" applyAlignment="1">
      <alignment horizontal="center" vertical="top"/>
    </xf>
    <xf numFmtId="9" fontId="23" fillId="8" borderId="12" xfId="0" applyNumberFormat="1" applyFont="1" applyFill="1" applyBorder="1" applyAlignment="1">
      <alignment horizontal="center" vertical="top"/>
    </xf>
    <xf numFmtId="0" fontId="27" fillId="7" borderId="0" xfId="0" applyFont="1" applyFill="1" applyAlignment="1">
      <alignment vertical="top"/>
    </xf>
    <xf numFmtId="0" fontId="28" fillId="7" borderId="0" xfId="0" applyFont="1" applyFill="1" applyAlignment="1">
      <alignment vertical="top"/>
    </xf>
    <xf numFmtId="0" fontId="29" fillId="7" borderId="0" xfId="0" applyFont="1" applyFill="1" applyAlignment="1">
      <alignment vertical="top"/>
    </xf>
    <xf numFmtId="0" fontId="30" fillId="7" borderId="0" xfId="0" applyFont="1" applyFill="1" applyAlignment="1">
      <alignment vertical="top"/>
    </xf>
    <xf numFmtId="0" fontId="31" fillId="7" borderId="0" xfId="0" applyFont="1" applyFill="1" applyAlignment="1">
      <alignment vertical="top"/>
    </xf>
    <xf numFmtId="0" fontId="1" fillId="6" borderId="13" xfId="0" applyFont="1" applyFill="1" applyBorder="1"/>
    <xf numFmtId="0" fontId="0" fillId="6" borderId="2" xfId="0" applyFill="1" applyBorder="1"/>
    <xf numFmtId="0" fontId="0" fillId="6" borderId="14" xfId="0" applyFill="1" applyBorder="1"/>
    <xf numFmtId="0" fontId="0" fillId="6" borderId="15" xfId="0" applyFill="1" applyBorder="1"/>
    <xf numFmtId="0" fontId="0" fillId="6" borderId="0" xfId="0" applyFill="1" applyBorder="1"/>
    <xf numFmtId="0" fontId="0" fillId="6" borderId="1" xfId="0" applyFill="1" applyBorder="1"/>
    <xf numFmtId="0" fontId="13" fillId="6" borderId="0" xfId="0" applyFont="1" applyFill="1" applyBorder="1"/>
    <xf numFmtId="3" fontId="0" fillId="6" borderId="15" xfId="0" applyNumberFormat="1" applyFill="1" applyBorder="1"/>
    <xf numFmtId="3" fontId="1" fillId="6" borderId="15" xfId="0" applyNumberFormat="1" applyFont="1" applyFill="1" applyBorder="1"/>
    <xf numFmtId="0" fontId="13" fillId="6" borderId="15" xfId="0" applyFont="1" applyFill="1" applyBorder="1"/>
    <xf numFmtId="0" fontId="0" fillId="6" borderId="16" xfId="0" applyFill="1" applyBorder="1"/>
    <xf numFmtId="0" fontId="0" fillId="6" borderId="17" xfId="0" applyFill="1" applyBorder="1"/>
    <xf numFmtId="0" fontId="0" fillId="6" borderId="18" xfId="0" applyFill="1" applyBorder="1"/>
    <xf numFmtId="0" fontId="0" fillId="6" borderId="0" xfId="0" applyFill="1" applyBorder="1" applyAlignment="1">
      <alignment horizontal="center"/>
    </xf>
    <xf numFmtId="0" fontId="0" fillId="6" borderId="1" xfId="0"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34" fillId="6" borderId="0" xfId="0" applyFont="1" applyFill="1" applyBorder="1" applyAlignment="1">
      <alignment horizontal="center"/>
    </xf>
    <xf numFmtId="0" fontId="34" fillId="6" borderId="1" xfId="0" applyFont="1" applyFill="1" applyBorder="1" applyAlignment="1">
      <alignment horizontal="center"/>
    </xf>
    <xf numFmtId="0" fontId="1" fillId="3" borderId="0" xfId="0" applyFont="1" applyFill="1"/>
    <xf numFmtId="0" fontId="0" fillId="3" borderId="0" xfId="0" applyFill="1"/>
    <xf numFmtId="0" fontId="34" fillId="3" borderId="0" xfId="0" applyFont="1" applyFill="1" applyAlignment="1">
      <alignment horizontal="center"/>
    </xf>
    <xf numFmtId="0" fontId="13" fillId="3" borderId="0" xfId="0" applyFont="1" applyFill="1"/>
    <xf numFmtId="0" fontId="0" fillId="3" borderId="0" xfId="0" applyFill="1" applyAlignment="1">
      <alignment horizontal="center"/>
    </xf>
    <xf numFmtId="0" fontId="13" fillId="3" borderId="0" xfId="0" applyFont="1" applyFill="1" applyBorder="1"/>
    <xf numFmtId="3" fontId="1" fillId="3" borderId="0" xfId="0" applyNumberFormat="1" applyFont="1" applyFill="1"/>
    <xf numFmtId="166" fontId="0" fillId="3" borderId="0" xfId="0" applyNumberFormat="1" applyFill="1"/>
    <xf numFmtId="2" fontId="13" fillId="3" borderId="0" xfId="0" applyNumberFormat="1" applyFont="1" applyFill="1" applyAlignment="1">
      <alignment horizontal="center"/>
    </xf>
    <xf numFmtId="167" fontId="0" fillId="3" borderId="0" xfId="0" applyNumberFormat="1" applyFill="1" applyAlignment="1">
      <alignment horizontal="center"/>
    </xf>
    <xf numFmtId="0" fontId="23" fillId="7" borderId="7" xfId="0" applyNumberFormat="1" applyFont="1" applyFill="1" applyBorder="1" applyAlignment="1">
      <alignment vertical="top"/>
    </xf>
    <xf numFmtId="0" fontId="23" fillId="7" borderId="0" xfId="0" applyNumberFormat="1" applyFont="1" applyFill="1" applyBorder="1" applyAlignment="1">
      <alignment vertical="top"/>
    </xf>
    <xf numFmtId="0" fontId="23" fillId="7" borderId="10" xfId="0" applyNumberFormat="1" applyFont="1" applyFill="1" applyBorder="1" applyAlignment="1">
      <alignment vertical="top"/>
    </xf>
    <xf numFmtId="0" fontId="23" fillId="7" borderId="11" xfId="0" applyNumberFormat="1" applyFont="1" applyFill="1" applyBorder="1" applyAlignment="1">
      <alignment vertical="top"/>
    </xf>
    <xf numFmtId="0" fontId="23" fillId="8" borderId="7" xfId="0" applyNumberFormat="1" applyFont="1" applyFill="1" applyBorder="1" applyAlignment="1">
      <alignment vertical="top"/>
    </xf>
    <xf numFmtId="0" fontId="23" fillId="8" borderId="0" xfId="0" applyNumberFormat="1" applyFont="1" applyFill="1" applyBorder="1" applyAlignment="1">
      <alignment vertical="top"/>
    </xf>
    <xf numFmtId="0" fontId="25" fillId="5"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D9D9D9"/>
      <color rgb="FF0099FF"/>
      <color rgb="FF368ED6"/>
      <color rgb="FF0066FF"/>
      <color rgb="FF00B050"/>
      <color rgb="FF00990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97301</xdr:colOff>
      <xdr:row>0</xdr:row>
      <xdr:rowOff>60961</xdr:rowOff>
    </xdr:from>
    <xdr:to>
      <xdr:col>16</xdr:col>
      <xdr:colOff>754379</xdr:colOff>
      <xdr:row>2</xdr:row>
      <xdr:rowOff>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4681" y="60961"/>
          <a:ext cx="1236198" cy="845820"/>
        </a:xfrm>
        <a:prstGeom prst="ellipse">
          <a:avLst/>
        </a:prstGeom>
        <a:ln w="63500" cap="rnd">
          <a:solidFill>
            <a:srgbClr val="0099FF"/>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M26" sqref="M26"/>
    </sheetView>
  </sheetViews>
  <sheetFormatPr defaultRowHeight="13.2" x14ac:dyDescent="0.25"/>
  <cols>
    <col min="1" max="1" width="5.5546875" customWidth="1"/>
    <col min="2" max="2" width="24.44140625" customWidth="1"/>
    <col min="3" max="3" width="9" customWidth="1"/>
  </cols>
  <sheetData>
    <row r="1" spans="1:15" x14ac:dyDescent="0.25">
      <c r="A1" s="2" t="s">
        <v>3</v>
      </c>
      <c r="B1" s="2" t="s">
        <v>1</v>
      </c>
      <c r="C1" s="4" t="s">
        <v>18</v>
      </c>
      <c r="D1" s="4" t="s">
        <v>19</v>
      </c>
      <c r="E1" s="4" t="s">
        <v>20</v>
      </c>
      <c r="F1" s="4" t="s">
        <v>21</v>
      </c>
      <c r="G1" s="4" t="s">
        <v>22</v>
      </c>
      <c r="H1" s="4" t="s">
        <v>222</v>
      </c>
      <c r="I1" s="4" t="s">
        <v>223</v>
      </c>
      <c r="J1" s="4" t="s">
        <v>224</v>
      </c>
      <c r="K1" s="4" t="s">
        <v>225</v>
      </c>
      <c r="L1" s="4" t="s">
        <v>226</v>
      </c>
      <c r="M1" s="4" t="s">
        <v>270</v>
      </c>
      <c r="N1" s="4" t="s">
        <v>271</v>
      </c>
      <c r="O1" s="4" t="s">
        <v>272</v>
      </c>
    </row>
    <row r="2" spans="1:15" s="11" customFormat="1" x14ac:dyDescent="0.25">
      <c r="A2" s="6">
        <v>1</v>
      </c>
      <c r="B2" s="19" t="s">
        <v>221</v>
      </c>
      <c r="C2" s="44" t="s">
        <v>236</v>
      </c>
      <c r="D2" s="45" t="s">
        <v>242</v>
      </c>
      <c r="E2" s="35" t="s">
        <v>243</v>
      </c>
      <c r="F2" s="45" t="s">
        <v>237</v>
      </c>
      <c r="G2" s="45" t="s">
        <v>506</v>
      </c>
      <c r="H2" s="35"/>
      <c r="I2" s="35"/>
      <c r="J2" s="35"/>
      <c r="K2" s="35"/>
      <c r="L2" s="35"/>
      <c r="M2" s="35"/>
    </row>
    <row r="3" spans="1:15" x14ac:dyDescent="0.25">
      <c r="A3" s="5">
        <v>2</v>
      </c>
      <c r="B3" s="20" t="s">
        <v>4</v>
      </c>
      <c r="C3" s="35" t="s">
        <v>244</v>
      </c>
      <c r="D3" s="35" t="s">
        <v>247</v>
      </c>
      <c r="E3" s="35" t="s">
        <v>248</v>
      </c>
      <c r="F3" s="35" t="s">
        <v>245</v>
      </c>
      <c r="G3" s="35" t="s">
        <v>478</v>
      </c>
      <c r="H3" s="35" t="s">
        <v>246</v>
      </c>
      <c r="I3" s="35" t="s">
        <v>479</v>
      </c>
      <c r="J3" s="35" t="s">
        <v>480</v>
      </c>
      <c r="K3" s="35"/>
      <c r="L3" s="35"/>
      <c r="M3" s="35"/>
    </row>
    <row r="4" spans="1:15" x14ac:dyDescent="0.25">
      <c r="A4" s="5">
        <v>3</v>
      </c>
      <c r="B4" s="34" t="s">
        <v>235</v>
      </c>
      <c r="C4" s="46" t="s">
        <v>71</v>
      </c>
      <c r="D4" s="46" t="s">
        <v>465</v>
      </c>
      <c r="E4" s="46" t="s">
        <v>70</v>
      </c>
      <c r="F4" s="35" t="s">
        <v>273</v>
      </c>
      <c r="G4" s="47" t="s">
        <v>472</v>
      </c>
      <c r="H4" s="47" t="s">
        <v>328</v>
      </c>
      <c r="I4" s="47" t="s">
        <v>536</v>
      </c>
      <c r="J4" s="35" t="s">
        <v>537</v>
      </c>
      <c r="K4" s="35"/>
      <c r="L4" s="35"/>
      <c r="M4" s="35"/>
    </row>
    <row r="5" spans="1:15" x14ac:dyDescent="0.25">
      <c r="A5" s="5">
        <f>SUM(A4+1)</f>
        <v>4</v>
      </c>
      <c r="B5" s="21" t="s">
        <v>5</v>
      </c>
      <c r="C5" s="46" t="s">
        <v>23</v>
      </c>
      <c r="D5" s="46" t="s">
        <v>369</v>
      </c>
      <c r="E5" s="46" t="s">
        <v>370</v>
      </c>
      <c r="F5" s="46" t="s">
        <v>371</v>
      </c>
      <c r="G5" s="46" t="s">
        <v>24</v>
      </c>
      <c r="H5" s="46" t="s">
        <v>48</v>
      </c>
      <c r="I5" s="46" t="s">
        <v>372</v>
      </c>
      <c r="J5" s="46" t="s">
        <v>373</v>
      </c>
      <c r="K5" s="46"/>
      <c r="L5" s="46"/>
      <c r="M5" s="35"/>
    </row>
    <row r="6" spans="1:15" x14ac:dyDescent="0.25">
      <c r="A6" s="5">
        <v>5</v>
      </c>
      <c r="B6" s="21" t="s">
        <v>428</v>
      </c>
      <c r="C6" s="35" t="s">
        <v>429</v>
      </c>
      <c r="D6" s="35" t="s">
        <v>430</v>
      </c>
      <c r="E6" s="46" t="s">
        <v>431</v>
      </c>
      <c r="F6" s="47" t="s">
        <v>432</v>
      </c>
      <c r="G6" s="47" t="s">
        <v>433</v>
      </c>
      <c r="H6" s="35"/>
      <c r="I6" s="35"/>
      <c r="J6" s="46"/>
      <c r="K6" s="46"/>
      <c r="L6" s="46"/>
      <c r="M6" s="35"/>
    </row>
    <row r="7" spans="1:15" x14ac:dyDescent="0.25">
      <c r="A7" s="5">
        <v>6</v>
      </c>
      <c r="B7" s="53" t="s">
        <v>486</v>
      </c>
      <c r="C7" s="46" t="s">
        <v>482</v>
      </c>
      <c r="D7" s="46" t="s">
        <v>493</v>
      </c>
      <c r="E7" s="46" t="s">
        <v>483</v>
      </c>
      <c r="F7" s="46" t="s">
        <v>484</v>
      </c>
      <c r="G7" s="46" t="s">
        <v>527</v>
      </c>
      <c r="H7" s="47" t="s">
        <v>492</v>
      </c>
      <c r="I7" s="46" t="s">
        <v>488</v>
      </c>
      <c r="J7" s="46" t="s">
        <v>489</v>
      </c>
      <c r="K7" s="46" t="s">
        <v>498</v>
      </c>
      <c r="M7" s="35"/>
    </row>
    <row r="8" spans="1:15" x14ac:dyDescent="0.25">
      <c r="A8" s="5">
        <v>7</v>
      </c>
      <c r="B8" s="21" t="s">
        <v>234</v>
      </c>
      <c r="C8" s="46" t="s">
        <v>26</v>
      </c>
      <c r="D8" s="46" t="s">
        <v>252</v>
      </c>
      <c r="E8" s="46" t="s">
        <v>525</v>
      </c>
      <c r="F8" s="47" t="s">
        <v>189</v>
      </c>
      <c r="G8" s="47" t="s">
        <v>253</v>
      </c>
      <c r="H8" s="47" t="s">
        <v>412</v>
      </c>
      <c r="I8" s="47" t="s">
        <v>413</v>
      </c>
      <c r="J8" s="35"/>
      <c r="K8" s="35"/>
      <c r="L8" s="35"/>
      <c r="M8" s="35"/>
    </row>
    <row r="9" spans="1:15" x14ac:dyDescent="0.25">
      <c r="A9" s="5">
        <f t="shared" ref="A9:A30" si="0">SUM((A8+1))</f>
        <v>8</v>
      </c>
      <c r="B9" s="23" t="s">
        <v>25</v>
      </c>
      <c r="C9" s="46" t="s">
        <v>32</v>
      </c>
      <c r="D9" s="46" t="s">
        <v>62</v>
      </c>
      <c r="E9" s="46" t="s">
        <v>122</v>
      </c>
      <c r="F9" s="46" t="s">
        <v>63</v>
      </c>
      <c r="G9" s="46" t="s">
        <v>376</v>
      </c>
      <c r="H9" s="47" t="s">
        <v>353</v>
      </c>
      <c r="I9" s="47" t="s">
        <v>354</v>
      </c>
      <c r="J9" s="47" t="s">
        <v>355</v>
      </c>
      <c r="K9" s="47" t="s">
        <v>356</v>
      </c>
      <c r="L9" s="47" t="s">
        <v>357</v>
      </c>
      <c r="M9" s="47" t="s">
        <v>358</v>
      </c>
      <c r="N9" s="8" t="s">
        <v>490</v>
      </c>
      <c r="O9" s="8" t="s">
        <v>502</v>
      </c>
    </row>
    <row r="10" spans="1:15" x14ac:dyDescent="0.25">
      <c r="A10" s="5">
        <f t="shared" si="0"/>
        <v>9</v>
      </c>
      <c r="B10" s="24" t="s">
        <v>69</v>
      </c>
      <c r="C10" s="46" t="s">
        <v>443</v>
      </c>
      <c r="D10" s="46" t="s">
        <v>274</v>
      </c>
      <c r="E10" s="47" t="s">
        <v>275</v>
      </c>
      <c r="F10" s="47" t="s">
        <v>276</v>
      </c>
      <c r="G10" s="47" t="s">
        <v>277</v>
      </c>
      <c r="H10" s="47" t="s">
        <v>278</v>
      </c>
      <c r="I10" s="47" t="s">
        <v>279</v>
      </c>
      <c r="J10" s="47" t="s">
        <v>280</v>
      </c>
      <c r="K10" s="47" t="s">
        <v>281</v>
      </c>
      <c r="L10" s="47" t="s">
        <v>282</v>
      </c>
      <c r="M10" s="35"/>
    </row>
    <row r="11" spans="1:15" x14ac:dyDescent="0.25">
      <c r="A11" s="5">
        <f t="shared" si="0"/>
        <v>10</v>
      </c>
      <c r="B11" s="20" t="s">
        <v>227</v>
      </c>
      <c r="C11" s="35" t="s">
        <v>47</v>
      </c>
      <c r="D11" s="35" t="s">
        <v>101</v>
      </c>
      <c r="E11" s="47" t="s">
        <v>257</v>
      </c>
      <c r="F11" s="47" t="s">
        <v>500</v>
      </c>
      <c r="G11" s="35"/>
      <c r="H11" s="35"/>
      <c r="I11" s="35"/>
      <c r="J11" s="35"/>
      <c r="K11" s="35"/>
      <c r="L11" s="35"/>
      <c r="M11" s="35"/>
    </row>
    <row r="12" spans="1:15" x14ac:dyDescent="0.25">
      <c r="A12" s="5">
        <f t="shared" si="0"/>
        <v>11</v>
      </c>
      <c r="B12" s="21" t="s">
        <v>6</v>
      </c>
      <c r="C12" s="46" t="s">
        <v>319</v>
      </c>
      <c r="D12" s="46" t="s">
        <v>320</v>
      </c>
      <c r="E12" s="46" t="s">
        <v>72</v>
      </c>
      <c r="F12" s="47" t="s">
        <v>51</v>
      </c>
      <c r="G12" s="46" t="s">
        <v>427</v>
      </c>
      <c r="H12" s="46" t="s">
        <v>321</v>
      </c>
      <c r="I12" s="46" t="s">
        <v>322</v>
      </c>
      <c r="J12" s="46" t="s">
        <v>323</v>
      </c>
      <c r="K12" s="35" t="s">
        <v>324</v>
      </c>
      <c r="L12" s="35" t="s">
        <v>325</v>
      </c>
      <c r="M12" s="35" t="s">
        <v>326</v>
      </c>
      <c r="N12" s="11" t="s">
        <v>407</v>
      </c>
      <c r="O12" s="11" t="s">
        <v>327</v>
      </c>
    </row>
    <row r="13" spans="1:15" x14ac:dyDescent="0.25">
      <c r="A13" s="5">
        <f t="shared" si="0"/>
        <v>12</v>
      </c>
      <c r="B13" s="21" t="s">
        <v>434</v>
      </c>
      <c r="C13" s="35" t="s">
        <v>438</v>
      </c>
      <c r="D13" s="35" t="s">
        <v>448</v>
      </c>
      <c r="E13" s="35" t="s">
        <v>439</v>
      </c>
      <c r="F13" s="46" t="s">
        <v>435</v>
      </c>
      <c r="G13" s="47" t="s">
        <v>436</v>
      </c>
      <c r="H13" s="47" t="s">
        <v>437</v>
      </c>
      <c r="I13" s="47" t="s">
        <v>503</v>
      </c>
      <c r="J13" s="35"/>
      <c r="K13" s="35"/>
      <c r="L13" s="35"/>
      <c r="M13" s="35"/>
      <c r="N13" s="11"/>
      <c r="O13" s="11"/>
    </row>
    <row r="14" spans="1:15" x14ac:dyDescent="0.25">
      <c r="A14" s="5">
        <f t="shared" si="0"/>
        <v>13</v>
      </c>
      <c r="B14" s="21" t="s">
        <v>228</v>
      </c>
      <c r="C14" s="35" t="s">
        <v>73</v>
      </c>
      <c r="D14" s="35" t="s">
        <v>74</v>
      </c>
      <c r="E14" s="35" t="s">
        <v>75</v>
      </c>
      <c r="F14" s="35" t="s">
        <v>76</v>
      </c>
      <c r="G14" s="35" t="s">
        <v>77</v>
      </c>
      <c r="H14" s="35" t="s">
        <v>481</v>
      </c>
      <c r="I14" s="35" t="s">
        <v>78</v>
      </c>
      <c r="J14" s="35" t="s">
        <v>79</v>
      </c>
      <c r="K14" s="35" t="s">
        <v>334</v>
      </c>
      <c r="L14" s="35" t="s">
        <v>80</v>
      </c>
      <c r="M14" s="35" t="s">
        <v>238</v>
      </c>
    </row>
    <row r="15" spans="1:15" x14ac:dyDescent="0.25">
      <c r="A15" s="5">
        <f t="shared" si="0"/>
        <v>14</v>
      </c>
      <c r="B15" s="20" t="s">
        <v>230</v>
      </c>
      <c r="C15" s="46" t="s">
        <v>65</v>
      </c>
      <c r="D15" s="46" t="s">
        <v>66</v>
      </c>
      <c r="E15" s="46" t="s">
        <v>268</v>
      </c>
      <c r="F15" s="46" t="s">
        <v>269</v>
      </c>
      <c r="G15" s="46" t="s">
        <v>374</v>
      </c>
      <c r="H15" s="46" t="s">
        <v>539</v>
      </c>
      <c r="I15" s="46" t="s">
        <v>528</v>
      </c>
      <c r="J15" s="35"/>
      <c r="K15" s="35"/>
      <c r="L15" s="35"/>
      <c r="M15" s="35"/>
    </row>
    <row r="16" spans="1:15" x14ac:dyDescent="0.25">
      <c r="A16" s="5">
        <f t="shared" si="0"/>
        <v>15</v>
      </c>
      <c r="B16" s="21" t="s">
        <v>7</v>
      </c>
      <c r="C16" s="46" t="s">
        <v>39</v>
      </c>
      <c r="D16" s="46" t="s">
        <v>40</v>
      </c>
      <c r="E16" s="46" t="s">
        <v>27</v>
      </c>
      <c r="F16" s="46" t="s">
        <v>86</v>
      </c>
      <c r="G16" s="46" t="s">
        <v>28</v>
      </c>
      <c r="H16" s="46" t="s">
        <v>402</v>
      </c>
      <c r="I16" s="46"/>
      <c r="J16" s="35"/>
      <c r="K16" s="35"/>
      <c r="L16" s="35"/>
      <c r="M16" s="35"/>
    </row>
    <row r="17" spans="1:17" x14ac:dyDescent="0.25">
      <c r="A17" s="5">
        <f t="shared" si="0"/>
        <v>16</v>
      </c>
      <c r="B17" s="20" t="s">
        <v>8</v>
      </c>
      <c r="C17" s="46" t="s">
        <v>239</v>
      </c>
      <c r="D17" s="46" t="s">
        <v>52</v>
      </c>
      <c r="E17" s="46" t="s">
        <v>386</v>
      </c>
      <c r="F17" s="46" t="s">
        <v>53</v>
      </c>
      <c r="G17" s="46" t="s">
        <v>54</v>
      </c>
      <c r="H17" s="46" t="s">
        <v>258</v>
      </c>
      <c r="I17" s="46" t="s">
        <v>259</v>
      </c>
      <c r="J17" s="46" t="s">
        <v>260</v>
      </c>
      <c r="K17" s="46" t="s">
        <v>261</v>
      </c>
      <c r="L17" s="46" t="s">
        <v>529</v>
      </c>
      <c r="M17" s="46" t="s">
        <v>530</v>
      </c>
      <c r="N17" s="46" t="s">
        <v>531</v>
      </c>
      <c r="O17" s="46" t="s">
        <v>532</v>
      </c>
      <c r="P17" s="35"/>
      <c r="Q17" s="35"/>
    </row>
    <row r="18" spans="1:17" x14ac:dyDescent="0.25">
      <c r="A18" s="5">
        <f t="shared" si="0"/>
        <v>17</v>
      </c>
      <c r="B18" s="21" t="s">
        <v>487</v>
      </c>
      <c r="C18" s="46" t="s">
        <v>123</v>
      </c>
      <c r="D18" s="46" t="s">
        <v>124</v>
      </c>
      <c r="E18" s="46" t="s">
        <v>389</v>
      </c>
      <c r="F18" s="46" t="s">
        <v>249</v>
      </c>
      <c r="G18" s="46" t="s">
        <v>125</v>
      </c>
      <c r="H18" s="46" t="s">
        <v>126</v>
      </c>
      <c r="I18" s="46" t="s">
        <v>240</v>
      </c>
      <c r="J18" s="46" t="s">
        <v>241</v>
      </c>
      <c r="K18" s="46" t="s">
        <v>250</v>
      </c>
      <c r="L18" s="46" t="s">
        <v>251</v>
      </c>
      <c r="M18" s="46" t="s">
        <v>396</v>
      </c>
    </row>
    <row r="19" spans="1:17" x14ac:dyDescent="0.25">
      <c r="A19" s="5">
        <f t="shared" si="0"/>
        <v>18</v>
      </c>
      <c r="B19" s="21" t="s">
        <v>9</v>
      </c>
      <c r="C19" s="46" t="s">
        <v>377</v>
      </c>
      <c r="D19" s="46" t="s">
        <v>378</v>
      </c>
      <c r="E19" s="46" t="s">
        <v>55</v>
      </c>
      <c r="F19" s="46" t="s">
        <v>56</v>
      </c>
      <c r="G19" s="47" t="s">
        <v>397</v>
      </c>
      <c r="H19" s="47" t="s">
        <v>380</v>
      </c>
      <c r="I19" s="47" t="s">
        <v>404</v>
      </c>
      <c r="J19" s="35" t="s">
        <v>497</v>
      </c>
      <c r="K19" s="35"/>
      <c r="L19" s="35"/>
      <c r="M19" s="35"/>
    </row>
    <row r="20" spans="1:17" x14ac:dyDescent="0.25">
      <c r="A20" s="5">
        <f t="shared" si="0"/>
        <v>19</v>
      </c>
      <c r="B20" s="23" t="s">
        <v>61</v>
      </c>
      <c r="C20" s="46" t="s">
        <v>398</v>
      </c>
      <c r="D20" s="46" t="s">
        <v>399</v>
      </c>
      <c r="E20" s="47" t="s">
        <v>400</v>
      </c>
      <c r="F20" s="47" t="s">
        <v>401</v>
      </c>
      <c r="G20" s="47"/>
      <c r="H20" s="47"/>
      <c r="I20" s="47"/>
      <c r="J20" s="47"/>
      <c r="K20" s="35"/>
      <c r="L20" s="35"/>
      <c r="M20" s="35"/>
    </row>
    <row r="21" spans="1:17" x14ac:dyDescent="0.25">
      <c r="A21" s="5">
        <f t="shared" si="0"/>
        <v>20</v>
      </c>
      <c r="B21" s="21" t="s">
        <v>233</v>
      </c>
      <c r="C21" s="46" t="s">
        <v>42</v>
      </c>
      <c r="D21" s="46" t="s">
        <v>43</v>
      </c>
      <c r="E21" s="46" t="s">
        <v>46</v>
      </c>
      <c r="F21" s="46" t="s">
        <v>44</v>
      </c>
      <c r="G21" s="46" t="s">
        <v>45</v>
      </c>
      <c r="H21" s="47" t="s">
        <v>84</v>
      </c>
      <c r="I21" s="47" t="s">
        <v>85</v>
      </c>
      <c r="J21" s="35"/>
      <c r="K21" s="35"/>
      <c r="L21" s="35"/>
      <c r="M21" s="35"/>
    </row>
    <row r="22" spans="1:17" x14ac:dyDescent="0.25">
      <c r="A22" s="5">
        <f t="shared" si="0"/>
        <v>21</v>
      </c>
      <c r="B22" s="21" t="s">
        <v>10</v>
      </c>
      <c r="C22" s="46" t="s">
        <v>32</v>
      </c>
      <c r="D22" s="46" t="s">
        <v>507</v>
      </c>
      <c r="E22" s="46" t="s">
        <v>332</v>
      </c>
      <c r="F22" s="46" t="s">
        <v>333</v>
      </c>
      <c r="G22" s="46" t="s">
        <v>329</v>
      </c>
      <c r="H22" s="46" t="s">
        <v>331</v>
      </c>
      <c r="I22" s="46" t="s">
        <v>81</v>
      </c>
      <c r="J22" s="46" t="s">
        <v>82</v>
      </c>
      <c r="K22" s="46" t="s">
        <v>83</v>
      </c>
      <c r="L22" s="46" t="s">
        <v>100</v>
      </c>
      <c r="M22" s="35"/>
    </row>
    <row r="23" spans="1:17" x14ac:dyDescent="0.25">
      <c r="A23" s="5">
        <f t="shared" si="0"/>
        <v>22</v>
      </c>
      <c r="B23" s="21" t="s">
        <v>229</v>
      </c>
      <c r="C23" s="35" t="s">
        <v>256</v>
      </c>
      <c r="D23" s="35" t="s">
        <v>254</v>
      </c>
      <c r="E23" s="35" t="s">
        <v>255</v>
      </c>
      <c r="F23" s="46" t="s">
        <v>501</v>
      </c>
      <c r="G23" s="47" t="s">
        <v>526</v>
      </c>
      <c r="H23" s="47" t="s">
        <v>49</v>
      </c>
      <c r="I23" s="47" t="s">
        <v>551</v>
      </c>
      <c r="J23" s="47" t="s">
        <v>545</v>
      </c>
      <c r="K23" s="35" t="s">
        <v>544</v>
      </c>
      <c r="L23" s="35" t="s">
        <v>552</v>
      </c>
      <c r="M23" s="35" t="s">
        <v>546</v>
      </c>
      <c r="N23" s="35" t="s">
        <v>544</v>
      </c>
    </row>
    <row r="24" spans="1:17" x14ac:dyDescent="0.25">
      <c r="A24" s="5">
        <f t="shared" si="0"/>
        <v>23</v>
      </c>
      <c r="B24" s="21" t="s">
        <v>11</v>
      </c>
      <c r="C24" s="46" t="s">
        <v>266</v>
      </c>
      <c r="D24" s="46" t="s">
        <v>267</v>
      </c>
      <c r="E24" s="46" t="s">
        <v>50</v>
      </c>
      <c r="F24" s="46" t="s">
        <v>359</v>
      </c>
      <c r="G24" s="46" t="s">
        <v>387</v>
      </c>
      <c r="H24" s="46" t="s">
        <v>473</v>
      </c>
      <c r="I24" s="46" t="s">
        <v>511</v>
      </c>
      <c r="J24" s="46" t="s">
        <v>510</v>
      </c>
      <c r="K24" s="46" t="s">
        <v>57</v>
      </c>
      <c r="L24" s="46" t="s">
        <v>58</v>
      </c>
      <c r="M24" s="46" t="s">
        <v>67</v>
      </c>
    </row>
    <row r="25" spans="1:17" x14ac:dyDescent="0.25">
      <c r="A25" s="5">
        <f t="shared" si="0"/>
        <v>24</v>
      </c>
      <c r="B25" s="21" t="s">
        <v>12</v>
      </c>
      <c r="C25" s="46" t="s">
        <v>30</v>
      </c>
      <c r="D25" s="46" t="s">
        <v>31</v>
      </c>
      <c r="E25" s="46" t="s">
        <v>29</v>
      </c>
      <c r="F25" s="46" t="s">
        <v>403</v>
      </c>
      <c r="G25" s="46" t="s">
        <v>367</v>
      </c>
      <c r="H25" s="46" t="s">
        <v>368</v>
      </c>
      <c r="I25" s="35" t="s">
        <v>508</v>
      </c>
      <c r="J25" s="35"/>
      <c r="K25" s="35"/>
      <c r="L25" s="35"/>
      <c r="M25" s="35"/>
    </row>
    <row r="26" spans="1:17" x14ac:dyDescent="0.25">
      <c r="A26" s="5">
        <f t="shared" si="0"/>
        <v>25</v>
      </c>
      <c r="B26" s="21" t="s">
        <v>13</v>
      </c>
      <c r="C26" s="46" t="s">
        <v>440</v>
      </c>
      <c r="D26" s="46" t="s">
        <v>441</v>
      </c>
      <c r="E26" s="46" t="s">
        <v>64</v>
      </c>
      <c r="F26" s="46" t="s">
        <v>411</v>
      </c>
      <c r="G26" s="46" t="s">
        <v>409</v>
      </c>
      <c r="H26" s="47" t="s">
        <v>408</v>
      </c>
      <c r="I26" s="47" t="s">
        <v>410</v>
      </c>
      <c r="J26" s="47" t="s">
        <v>442</v>
      </c>
      <c r="K26" s="47"/>
      <c r="L26" s="35"/>
      <c r="M26" s="35"/>
    </row>
    <row r="27" spans="1:17" x14ac:dyDescent="0.25">
      <c r="A27" s="5">
        <f t="shared" si="0"/>
        <v>26</v>
      </c>
      <c r="B27" s="20" t="s">
        <v>187</v>
      </c>
      <c r="C27" s="46" t="s">
        <v>188</v>
      </c>
      <c r="D27" s="46" t="s">
        <v>468</v>
      </c>
      <c r="E27" s="46" t="s">
        <v>467</v>
      </c>
      <c r="F27" s="47" t="s">
        <v>375</v>
      </c>
      <c r="G27" s="47" t="s">
        <v>388</v>
      </c>
      <c r="H27" s="47" t="s">
        <v>533</v>
      </c>
      <c r="I27" s="47" t="s">
        <v>534</v>
      </c>
      <c r="J27" s="47"/>
      <c r="K27" s="35"/>
      <c r="L27" s="35"/>
      <c r="M27" s="35"/>
    </row>
    <row r="28" spans="1:17" x14ac:dyDescent="0.25">
      <c r="A28" s="5">
        <f t="shared" si="0"/>
        <v>27</v>
      </c>
      <c r="B28" s="20" t="s">
        <v>505</v>
      </c>
      <c r="C28" s="46" t="s">
        <v>509</v>
      </c>
      <c r="D28" s="46" t="s">
        <v>514</v>
      </c>
      <c r="E28" s="46" t="s">
        <v>512</v>
      </c>
      <c r="F28" s="47" t="s">
        <v>515</v>
      </c>
      <c r="G28" s="46" t="s">
        <v>513</v>
      </c>
      <c r="H28" s="46" t="s">
        <v>516</v>
      </c>
      <c r="I28" s="46" t="s">
        <v>517</v>
      </c>
      <c r="J28" s="35" t="s">
        <v>522</v>
      </c>
      <c r="K28" s="35" t="s">
        <v>523</v>
      </c>
      <c r="L28" s="35" t="s">
        <v>518</v>
      </c>
      <c r="M28" s="35" t="s">
        <v>521</v>
      </c>
      <c r="N28" s="35" t="s">
        <v>519</v>
      </c>
      <c r="O28" s="35" t="s">
        <v>520</v>
      </c>
    </row>
    <row r="29" spans="1:17" x14ac:dyDescent="0.25">
      <c r="A29" s="5">
        <f t="shared" si="0"/>
        <v>28</v>
      </c>
      <c r="B29" s="24" t="s">
        <v>232</v>
      </c>
      <c r="C29" s="46" t="s">
        <v>262</v>
      </c>
      <c r="D29" s="46" t="s">
        <v>390</v>
      </c>
      <c r="E29" s="46" t="s">
        <v>263</v>
      </c>
      <c r="F29" s="47" t="s">
        <v>379</v>
      </c>
      <c r="G29" s="47" t="s">
        <v>265</v>
      </c>
      <c r="H29" s="47" t="s">
        <v>264</v>
      </c>
      <c r="I29" s="35" t="s">
        <v>474</v>
      </c>
      <c r="J29" s="35" t="s">
        <v>475</v>
      </c>
      <c r="K29" s="35" t="s">
        <v>466</v>
      </c>
      <c r="L29" s="35"/>
      <c r="M29" s="35"/>
    </row>
    <row r="30" spans="1:17" ht="13.8" x14ac:dyDescent="0.25">
      <c r="A30" s="5">
        <f t="shared" si="0"/>
        <v>29</v>
      </c>
      <c r="B30" s="22">
        <v>911</v>
      </c>
      <c r="C30" s="46" t="s">
        <v>60</v>
      </c>
      <c r="D30" s="46" t="s">
        <v>394</v>
      </c>
      <c r="E30" s="46" t="s">
        <v>395</v>
      </c>
      <c r="F30" s="46" t="s">
        <v>68</v>
      </c>
      <c r="G30" s="47" t="s">
        <v>59</v>
      </c>
      <c r="H30" s="46" t="s">
        <v>491</v>
      </c>
      <c r="I30" s="46"/>
      <c r="J30" s="35"/>
      <c r="K30" s="35"/>
      <c r="L30" s="48"/>
      <c r="M30" s="49"/>
      <c r="N30" s="39"/>
      <c r="O30" s="39"/>
      <c r="P30" s="39"/>
      <c r="Q30" s="39"/>
    </row>
    <row r="31" spans="1:17" x14ac:dyDescent="0.25">
      <c r="A31" s="54"/>
      <c r="B31" s="52"/>
      <c r="N31" s="11"/>
      <c r="O31" s="11"/>
      <c r="P31" s="11"/>
      <c r="Q31" s="11"/>
    </row>
    <row r="32" spans="1:17" x14ac:dyDescent="0.25">
      <c r="K32" s="11" t="s">
        <v>330</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P6" sqref="P6"/>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8.2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9" width="9.109375" style="1"/>
    <col min="20" max="20" width="10.21875" style="1" customWidth="1"/>
    <col min="21" max="16384" width="9.109375" style="1"/>
  </cols>
  <sheetData>
    <row r="1" spans="1:17" ht="39.6" customHeight="1" x14ac:dyDescent="0.25">
      <c r="A1" s="85" t="s">
        <v>220</v>
      </c>
      <c r="B1" s="84"/>
      <c r="C1" s="84"/>
      <c r="D1" s="84"/>
      <c r="E1" s="84"/>
      <c r="F1" s="60"/>
      <c r="G1" s="60"/>
      <c r="H1" s="60"/>
      <c r="I1" s="60"/>
      <c r="J1" s="61"/>
      <c r="K1" s="60"/>
      <c r="L1" s="60"/>
      <c r="M1" s="60"/>
      <c r="N1" s="60"/>
      <c r="O1" s="60"/>
      <c r="P1" s="60"/>
      <c r="Q1" s="60"/>
    </row>
    <row r="2" spans="1:17" ht="31.8" customHeight="1" x14ac:dyDescent="0.25">
      <c r="A2" s="86" t="s">
        <v>0</v>
      </c>
      <c r="B2" s="87"/>
      <c r="C2" s="87"/>
      <c r="D2" s="87"/>
      <c r="E2" s="87"/>
      <c r="F2" s="88"/>
      <c r="G2" s="88"/>
      <c r="H2" s="60"/>
      <c r="I2" s="60"/>
      <c r="J2" s="60"/>
      <c r="K2" s="60"/>
      <c r="L2" s="60"/>
      <c r="M2" s="60"/>
      <c r="N2" s="60"/>
      <c r="O2" s="60"/>
      <c r="P2" s="60"/>
      <c r="Q2" s="60"/>
    </row>
    <row r="3" spans="1:17" ht="5.4" customHeight="1" x14ac:dyDescent="0.25">
      <c r="A3" s="62"/>
      <c r="B3" s="60"/>
      <c r="C3" s="60"/>
      <c r="D3" s="60"/>
      <c r="E3" s="60"/>
      <c r="F3" s="60"/>
      <c r="G3" s="60"/>
      <c r="H3" s="60"/>
      <c r="I3" s="60"/>
      <c r="J3" s="60"/>
      <c r="K3" s="60"/>
      <c r="L3" s="60"/>
      <c r="M3" s="60"/>
      <c r="N3" s="60"/>
      <c r="O3" s="60"/>
      <c r="P3" s="60"/>
      <c r="Q3" s="60"/>
    </row>
    <row r="4" spans="1:17" ht="3" customHeight="1" x14ac:dyDescent="0.25">
      <c r="A4" s="63"/>
      <c r="B4" s="63"/>
      <c r="C4" s="63"/>
      <c r="D4" s="63"/>
      <c r="E4" s="63"/>
      <c r="F4" s="63"/>
      <c r="G4" s="63"/>
      <c r="H4" s="63"/>
      <c r="I4" s="63"/>
      <c r="J4" s="63"/>
      <c r="K4" s="63"/>
      <c r="L4" s="63"/>
      <c r="M4" s="63"/>
      <c r="N4" s="63"/>
      <c r="O4" s="63"/>
      <c r="P4" s="63"/>
      <c r="Q4" s="63"/>
    </row>
    <row r="5" spans="1:17" ht="3.6" customHeight="1" x14ac:dyDescent="0.25">
      <c r="A5" s="64"/>
      <c r="B5" s="60"/>
      <c r="C5" s="60"/>
      <c r="D5" s="60"/>
      <c r="E5" s="60"/>
      <c r="F5" s="60"/>
      <c r="G5" s="60"/>
      <c r="H5" s="60"/>
      <c r="I5" s="60"/>
      <c r="J5" s="60"/>
      <c r="K5" s="60"/>
      <c r="L5" s="60"/>
      <c r="M5" s="60"/>
      <c r="N5" s="60" t="s">
        <v>499</v>
      </c>
      <c r="O5" s="65" t="s">
        <v>499</v>
      </c>
      <c r="P5" s="60"/>
      <c r="Q5" s="60"/>
    </row>
    <row r="6" spans="1:17" ht="16.2" customHeight="1" x14ac:dyDescent="0.25">
      <c r="A6" s="64"/>
      <c r="B6" s="60"/>
      <c r="C6" s="60"/>
      <c r="D6" s="60"/>
      <c r="E6" s="60"/>
      <c r="F6" s="60"/>
      <c r="G6" s="60"/>
      <c r="H6" s="60"/>
      <c r="I6" s="60"/>
      <c r="J6" s="60"/>
      <c r="K6" s="60"/>
      <c r="L6" s="60"/>
      <c r="M6" s="60"/>
      <c r="N6" s="60" t="s">
        <v>330</v>
      </c>
      <c r="O6" s="60" t="s">
        <v>499</v>
      </c>
      <c r="P6" s="60"/>
      <c r="Q6" s="59">
        <v>1</v>
      </c>
    </row>
    <row r="7" spans="1:17" ht="15" x14ac:dyDescent="0.25">
      <c r="A7" s="66" t="s">
        <v>1</v>
      </c>
      <c r="B7" s="124" t="str">
        <f>VLOOKUP(Q6,'Code Sheet'!A1:G34,2,TRUE)</f>
        <v>Agri-Civic Center</v>
      </c>
      <c r="C7" s="124"/>
      <c r="D7" s="124"/>
      <c r="E7" s="60"/>
      <c r="F7" s="60"/>
      <c r="G7" s="60"/>
      <c r="H7" s="66" t="s">
        <v>41</v>
      </c>
      <c r="I7" s="67"/>
      <c r="J7" s="55">
        <v>2019</v>
      </c>
      <c r="K7" s="60"/>
      <c r="L7" s="60"/>
      <c r="M7" s="60" t="s">
        <v>535</v>
      </c>
      <c r="N7" s="68"/>
      <c r="O7" s="60" t="s">
        <v>330</v>
      </c>
      <c r="P7" s="60" t="s">
        <v>499</v>
      </c>
      <c r="Q7" s="60" t="s">
        <v>499</v>
      </c>
    </row>
    <row r="8" spans="1:17" ht="7.5" customHeight="1" x14ac:dyDescent="0.25">
      <c r="A8" s="60"/>
      <c r="B8" s="60"/>
      <c r="C8" s="60"/>
      <c r="D8" s="60"/>
      <c r="E8" s="60"/>
      <c r="F8" s="60"/>
      <c r="G8" s="60"/>
      <c r="H8" s="60"/>
      <c r="I8" s="60"/>
      <c r="J8" s="60"/>
      <c r="K8" s="60"/>
      <c r="L8" s="60"/>
      <c r="M8" s="60" t="s">
        <v>330</v>
      </c>
      <c r="N8" s="60"/>
      <c r="O8" s="68" t="s">
        <v>330</v>
      </c>
      <c r="P8" s="60"/>
      <c r="Q8" s="60"/>
    </row>
    <row r="9" spans="1:17" ht="9.75" customHeight="1" thickBot="1" x14ac:dyDescent="0.3">
      <c r="A9" s="60"/>
      <c r="B9" s="60"/>
      <c r="C9" s="60"/>
      <c r="D9" s="60"/>
      <c r="E9" s="60"/>
      <c r="F9" s="60"/>
      <c r="G9" s="60"/>
      <c r="H9" s="60"/>
      <c r="I9" s="60"/>
      <c r="J9" s="60"/>
      <c r="K9" s="60"/>
      <c r="L9" s="60"/>
      <c r="M9" s="60"/>
      <c r="N9" s="60"/>
      <c r="O9" s="60"/>
      <c r="P9" s="60"/>
      <c r="Q9" s="60"/>
    </row>
    <row r="10" spans="1:17" ht="14.4" thickTop="1" thickBot="1" x14ac:dyDescent="0.3">
      <c r="A10" s="69" t="s">
        <v>2</v>
      </c>
      <c r="B10" s="70"/>
      <c r="C10" s="71"/>
      <c r="D10" s="72"/>
      <c r="E10" s="72"/>
      <c r="F10" s="72"/>
      <c r="G10" s="72"/>
      <c r="H10" s="72"/>
      <c r="I10" s="72"/>
      <c r="J10" s="72"/>
      <c r="K10" s="72"/>
      <c r="L10" s="72"/>
      <c r="M10" s="72"/>
      <c r="N10" s="72"/>
      <c r="O10" s="72"/>
      <c r="P10" s="72"/>
      <c r="Q10" s="73"/>
    </row>
    <row r="11" spans="1:17" x14ac:dyDescent="0.25">
      <c r="A11" s="74"/>
      <c r="B11" s="75"/>
      <c r="C11" s="75"/>
      <c r="D11" s="76" t="s">
        <v>87</v>
      </c>
      <c r="E11" s="76" t="s">
        <v>88</v>
      </c>
      <c r="F11" s="76" t="s">
        <v>89</v>
      </c>
      <c r="G11" s="76" t="s">
        <v>15</v>
      </c>
      <c r="H11" s="76" t="s">
        <v>16</v>
      </c>
      <c r="I11" s="76" t="s">
        <v>17</v>
      </c>
      <c r="J11" s="76" t="s">
        <v>33</v>
      </c>
      <c r="K11" s="76" t="s">
        <v>34</v>
      </c>
      <c r="L11" s="76" t="s">
        <v>35</v>
      </c>
      <c r="M11" s="76" t="s">
        <v>36</v>
      </c>
      <c r="N11" s="76" t="s">
        <v>37</v>
      </c>
      <c r="O11" s="76" t="s">
        <v>38</v>
      </c>
      <c r="P11" s="76" t="s">
        <v>452</v>
      </c>
      <c r="Q11" s="77" t="s">
        <v>453</v>
      </c>
    </row>
    <row r="12" spans="1:17" ht="30" customHeight="1" x14ac:dyDescent="0.25">
      <c r="A12" s="122" t="str">
        <f>VLOOKUP(Q6,'Code Sheet'!A1:G34,3,TRUE)</f>
        <v xml:space="preserve">$ Total revenue </v>
      </c>
      <c r="B12" s="123"/>
      <c r="C12" s="123"/>
      <c r="D12" s="78">
        <f>VLOOKUP(Q6,'SRT Data'!A:EZ,3,TRUE)</f>
        <v>7672</v>
      </c>
      <c r="E12" s="78">
        <f>VLOOKUP(Q6,'SRT Data'!A:EZ,16,TRUE)</f>
        <v>6681</v>
      </c>
      <c r="F12" s="78">
        <f>VLOOKUP(Q6,'SRT Data'!A:EZ,29,TRUE)</f>
        <v>2656</v>
      </c>
      <c r="G12" s="78">
        <f>VLOOKUP(Q6,'SRT Data'!A:FA,42,TRUE)</f>
        <v>9577</v>
      </c>
      <c r="H12" s="78">
        <f>VLOOKUP(Q6,'SRT Data'!A:FA,55,TRUE)</f>
        <v>7412</v>
      </c>
      <c r="I12" s="78">
        <f>VLOOKUP(Q6,'SRT Data'!A:FA,68,TRUE)</f>
        <v>2030</v>
      </c>
      <c r="J12" s="78">
        <f>VLOOKUP(Q6,'SRT Data'!A:FA,81,TRUE)</f>
        <v>2675</v>
      </c>
      <c r="K12" s="78">
        <f>VLOOKUP(Q6,'SRT Data'!A:FA,94,TRUE)</f>
        <v>7431</v>
      </c>
      <c r="L12" s="78">
        <f>VLOOKUP(Q6,'SRT Data'!A:FA,107,TRUE)</f>
        <v>0</v>
      </c>
      <c r="M12" s="78">
        <f>VLOOKUP(Q6,'SRT Data'!A:FA,120,TRUE)</f>
        <v>0</v>
      </c>
      <c r="N12" s="78">
        <f>VLOOKUP(Q6,'SRT Data'!A:FA,133,TRUE)</f>
        <v>0</v>
      </c>
      <c r="O12" s="78">
        <f>VLOOKUP(Q6,'SRT Data'!A:FB,146,TRUE)</f>
        <v>0</v>
      </c>
      <c r="P12" s="79">
        <f>VLOOKUP(Q6,'SRT Data'!A:FO,159,TRUE)</f>
        <v>60000</v>
      </c>
      <c r="Q12" s="80">
        <f>SUM(D12:O12)/P12</f>
        <v>0.76890000000000003</v>
      </c>
    </row>
    <row r="13" spans="1:17" ht="30" customHeight="1" x14ac:dyDescent="0.25">
      <c r="A13" s="122" t="str">
        <f>VLOOKUP(Q6,'Code Sheet'!A1:G34,4,TRUE)</f>
        <v xml:space="preserve"># Paid events </v>
      </c>
      <c r="B13" s="123"/>
      <c r="C13" s="123"/>
      <c r="D13" s="78">
        <f>VLOOKUP(Q6,'SRT Data'!A:EZ,4,TRUE)</f>
        <v>3</v>
      </c>
      <c r="E13" s="78">
        <f>VLOOKUP(Q6,'SRT Data'!A:EZ,17,TRUE)</f>
        <v>5</v>
      </c>
      <c r="F13" s="78">
        <f>VLOOKUP(Q6,'SRT Data'!A:EZ,30,TRUE)</f>
        <v>6</v>
      </c>
      <c r="G13" s="78">
        <f>VLOOKUP(Q6,'SRT Data'!A:FA,43,TRUE)</f>
        <v>11</v>
      </c>
      <c r="H13" s="78">
        <f>VLOOKUP(Q6,'SRT Data'!A:FA,56,TRUE)</f>
        <v>5</v>
      </c>
      <c r="I13" s="78">
        <f>VLOOKUP(Q6,'SRT Data'!A:FA,69,TRUE)</f>
        <v>9</v>
      </c>
      <c r="J13" s="78">
        <f>VLOOKUP(Q6,'SRT Data'!A:FA,82,TRUE)</f>
        <v>5</v>
      </c>
      <c r="K13" s="78">
        <f>VLOOKUP(Q6,'SRT Data'!A:FA,95,TRUE)</f>
        <v>2</v>
      </c>
      <c r="L13" s="78">
        <f>VLOOKUP(Q6,'SRT Data'!A:FA,108,TRUE)</f>
        <v>0</v>
      </c>
      <c r="M13" s="78">
        <f>VLOOKUP(Q6,'SRT Data'!A:FA,121,TRUE)</f>
        <v>0</v>
      </c>
      <c r="N13" s="78">
        <f>VLOOKUP(Q6,'SRT Data'!A:FA,134,TRUE)</f>
        <v>0</v>
      </c>
      <c r="O13" s="78">
        <f>VLOOKUP(Q6,'SRT Data'!A:FA,147,TRUE)</f>
        <v>0</v>
      </c>
      <c r="P13" s="79">
        <f>VLOOKUP(Q6,'SRT Data'!A:FO,160,TRUE)</f>
        <v>75</v>
      </c>
      <c r="Q13" s="80">
        <f t="shared" ref="Q13:Q24" si="0">SUM(D13:O13)/P13</f>
        <v>0.61333333333333329</v>
      </c>
    </row>
    <row r="14" spans="1:17" ht="30" customHeight="1" x14ac:dyDescent="0.25">
      <c r="A14" s="122" t="str">
        <f>VLOOKUP(Q6,'Code Sheet'!A1:G34,5,TRUE)</f>
        <v># Free events</v>
      </c>
      <c r="B14" s="123"/>
      <c r="C14" s="123"/>
      <c r="D14" s="78">
        <f>VLOOKUP(Q6,'SRT Data'!A:EZ,5,TRUE)</f>
        <v>18</v>
      </c>
      <c r="E14" s="78">
        <f>VLOOKUP(Q6,'SRT Data'!A:EZ,18,TRUE)</f>
        <v>18</v>
      </c>
      <c r="F14" s="78">
        <f>VLOOKUP(Q6,'SRT Data'!A:EZ,31,TRUE)</f>
        <v>13</v>
      </c>
      <c r="G14" s="78">
        <f>VLOOKUP(Q6,'SRT Data'!A:FA,44,TRUE)</f>
        <v>19</v>
      </c>
      <c r="H14" s="78">
        <f>VLOOKUP(Q6,'SRT Data'!A:FA,57,TRUE)</f>
        <v>13</v>
      </c>
      <c r="I14" s="78">
        <f>VLOOKUP(Q6,'SRT Data'!A:FA,70,TRUE)</f>
        <v>9</v>
      </c>
      <c r="J14" s="78">
        <f>VLOOKUP(Q6,'SRT Data'!A:FA,83,TRUE)</f>
        <v>21</v>
      </c>
      <c r="K14" s="78">
        <f>VLOOKUP(Q6,'SRT Data'!A:FA,96,TRUE)</f>
        <v>19</v>
      </c>
      <c r="L14" s="78">
        <f>VLOOKUP(Q6,'SRT Data'!A:FA,109,TRUE)</f>
        <v>0</v>
      </c>
      <c r="M14" s="78">
        <f>VLOOKUP(Q6,'SRT Data'!A:FA,122,TRUE)</f>
        <v>0</v>
      </c>
      <c r="N14" s="78">
        <f>VLOOKUP(Q6,'SRT Data'!A:FA,135,TRUE)</f>
        <v>0</v>
      </c>
      <c r="O14" s="78">
        <f>VLOOKUP(Q6,'SRT Data'!A:FA,148,TRUE)</f>
        <v>0</v>
      </c>
      <c r="P14" s="79">
        <f>VLOOKUP(Q6,'SRT Data'!A:FO,161,TRUE)</f>
        <v>190</v>
      </c>
      <c r="Q14" s="80">
        <f t="shared" si="0"/>
        <v>0.68421052631578949</v>
      </c>
    </row>
    <row r="15" spans="1:17" ht="30" customHeight="1" x14ac:dyDescent="0.25">
      <c r="A15" s="122" t="str">
        <f>VLOOKUP(Q6,'Code Sheet'!A1:G34,6,TRUE)</f>
        <v xml:space="preserve"># Visitors </v>
      </c>
      <c r="B15" s="123"/>
      <c r="C15" s="123"/>
      <c r="D15" s="78">
        <f>VLOOKUP(Q6,'SRT Data'!A:EZ,6,TRUE)</f>
        <v>1424</v>
      </c>
      <c r="E15" s="78">
        <f>VLOOKUP(Q6,'SRT Data'!A:EZ,19,TRUE)</f>
        <v>3254</v>
      </c>
      <c r="F15" s="78">
        <f>VLOOKUP(Q6,'SRT Data'!A:EZ,32,TRUE)</f>
        <v>5060</v>
      </c>
      <c r="G15" s="78">
        <f>VLOOKUP(Q6,'SRT Data'!A:FA,45,TRUE)</f>
        <v>5445</v>
      </c>
      <c r="H15" s="78">
        <f>VLOOKUP(Q6,'SRT Data'!A:FA,58,TRUE)</f>
        <v>5061</v>
      </c>
      <c r="I15" s="78">
        <f>VLOOKUP(Q6,'SRT Data'!A:FA,71,TRUE)</f>
        <v>7230</v>
      </c>
      <c r="J15" s="78">
        <f>VLOOKUP(Q6,'SRT Data'!A:FA,84,TRUE)</f>
        <v>1618</v>
      </c>
      <c r="K15" s="78">
        <f>VLOOKUP(Q6,'SRT Data'!A:FA,97,TRUE)</f>
        <v>2901</v>
      </c>
      <c r="L15" s="78">
        <f>VLOOKUP(Q6,'SRT Data'!A:FA,110,TRUE)</f>
        <v>0</v>
      </c>
      <c r="M15" s="78">
        <f>VLOOKUP(Q6,'SRT Data'!A:FA,123,TRUE)</f>
        <v>0</v>
      </c>
      <c r="N15" s="78">
        <f>VLOOKUP(Q6,'SRT Data'!A:FA,136,TRUE)</f>
        <v>0</v>
      </c>
      <c r="O15" s="78">
        <f>VLOOKUP(Q6,'SRT Data'!A:FA,149,TRUE)</f>
        <v>0</v>
      </c>
      <c r="P15" s="79">
        <f>VLOOKUP(Q6,'SRT Data'!A:FO,162,TRUE)</f>
        <v>45000</v>
      </c>
      <c r="Q15" s="80">
        <f t="shared" si="0"/>
        <v>0.71095555555555556</v>
      </c>
    </row>
    <row r="16" spans="1:17" ht="30" customHeight="1" x14ac:dyDescent="0.25">
      <c r="A16" s="122" t="str">
        <f>VLOOKUP(Q6,'Code Sheet'!A1:G34,7,TRUE)</f>
        <v># Un-rentable days due to rehearsals</v>
      </c>
      <c r="B16" s="123"/>
      <c r="C16" s="123"/>
      <c r="D16" s="78">
        <f>VLOOKUP(Q6,'SRT Data'!A:EZ,7,TRUE)</f>
        <v>22</v>
      </c>
      <c r="E16" s="78">
        <f>VLOOKUP(Q6,'SRT Data'!A:EZ,20,TRUE)</f>
        <v>2</v>
      </c>
      <c r="F16" s="78">
        <f>VLOOKUP(Q6,'SRT Data'!A:EZ,33,TRUE)</f>
        <v>6</v>
      </c>
      <c r="G16" s="78">
        <f>VLOOKUP(Q6,'SRT Data'!A:FA,46,TRUE)</f>
        <v>14</v>
      </c>
      <c r="H16" s="78">
        <f>VLOOKUP(Q6,'SRT Data'!A:FA,59,TRUE)</f>
        <v>17</v>
      </c>
      <c r="I16" s="78">
        <f>VLOOKUP(Q6,'SRT Data'!A:FA,72,TRUE)</f>
        <v>1</v>
      </c>
      <c r="J16" s="78">
        <f>VLOOKUP(Q6,'SRT Data'!A:FA,85,TRUE)</f>
        <v>1</v>
      </c>
      <c r="K16" s="78">
        <f>VLOOKUP(Q6,'SRT Data'!A:FA,98,TRUE)</f>
        <v>2</v>
      </c>
      <c r="L16" s="78">
        <f>VLOOKUP(Q6,'SRT Data'!A:FA,111,TRUE)</f>
        <v>0</v>
      </c>
      <c r="M16" s="78">
        <f>VLOOKUP(Q6,'SRT Data'!A:FA,124,TRUE)</f>
        <v>0</v>
      </c>
      <c r="N16" s="78">
        <f>VLOOKUP(Q6,'SRT Data'!A:FA,137,TRUE)</f>
        <v>0</v>
      </c>
      <c r="O16" s="78">
        <f>VLOOKUP(Q6,'SRT Data'!A:FA,150,TRUE)</f>
        <v>0</v>
      </c>
      <c r="P16" s="79">
        <f>VLOOKUP(Q6,'SRT Data'!A:FO,163,TRUE)</f>
        <v>60</v>
      </c>
      <c r="Q16" s="80">
        <f t="shared" si="0"/>
        <v>1.0833333333333333</v>
      </c>
    </row>
    <row r="17" spans="1:17" ht="30" customHeight="1" x14ac:dyDescent="0.25">
      <c r="A17" s="118">
        <f>VLOOKUP(Q6,'Code Sheet'!A1:L34,8,TRUE)</f>
        <v>0</v>
      </c>
      <c r="B17" s="119"/>
      <c r="C17" s="119"/>
      <c r="D17" s="78" t="str">
        <f>VLOOKUP(Q6,'SRT Data'!A:EZ,8,TRUE)</f>
        <v xml:space="preserve">  </v>
      </c>
      <c r="E17" s="78">
        <f>VLOOKUP(Q6,'SRT Data'!A:EZ,21,TRUE)</f>
        <v>0</v>
      </c>
      <c r="F17" s="78">
        <f>VLOOKUP(Q6,'SRT Data'!A:EZ,34,TRUE)</f>
        <v>0</v>
      </c>
      <c r="G17" s="78">
        <f>VLOOKUP(Q6,'SRT Data'!A:FA,47,TRUE)</f>
        <v>0</v>
      </c>
      <c r="H17" s="78">
        <f>VLOOKUP(Q6,'SRT Data'!A:FA,60,TRUE)</f>
        <v>0</v>
      </c>
      <c r="I17" s="78">
        <f>VLOOKUP(Q6,'SRT Data'!A:FA,73,TRUE)</f>
        <v>0</v>
      </c>
      <c r="J17" s="78">
        <f>VLOOKUP(Q6,'SRT Data'!A:FA,86,TRUE)</f>
        <v>0</v>
      </c>
      <c r="K17" s="78">
        <f>VLOOKUP(Q6,'SRT Data'!A:FA,99,TRUE)</f>
        <v>0</v>
      </c>
      <c r="L17" s="78">
        <f>VLOOKUP(Q6,'SRT Data'!A:FA,112,TRUE)</f>
        <v>0</v>
      </c>
      <c r="M17" s="78">
        <f>VLOOKUP(Q6,'SRT Data'!A:FA,125,TRUE)</f>
        <v>0</v>
      </c>
      <c r="N17" s="78">
        <f>VLOOKUP(Q6,'SRT Data'!A:FA,138,TRUE)</f>
        <v>0</v>
      </c>
      <c r="O17" s="78">
        <f>VLOOKUP(Q6,'SRT Data'!A:FA,151,TRUE)</f>
        <v>0</v>
      </c>
      <c r="P17" s="79">
        <f>VLOOKUP(Q6,'SRT Data'!A:FO,164,TRUE)</f>
        <v>0</v>
      </c>
      <c r="Q17" s="80" t="e">
        <f t="shared" si="0"/>
        <v>#DIV/0!</v>
      </c>
    </row>
    <row r="18" spans="1:17" ht="30" customHeight="1" x14ac:dyDescent="0.25">
      <c r="A18" s="118">
        <f>VLOOKUP(Q6,'Code Sheet'!A1:L34,9,TRUE)</f>
        <v>0</v>
      </c>
      <c r="B18" s="119"/>
      <c r="C18" s="119"/>
      <c r="D18" s="78">
        <f>VLOOKUP(Q6,'SRT Data'!A:EZ,9,TRUE)</f>
        <v>0</v>
      </c>
      <c r="E18" s="78">
        <f>VLOOKUP(Q6,'SRT Data'!A:EZ,22,TRUE)</f>
        <v>0</v>
      </c>
      <c r="F18" s="78">
        <f>VLOOKUP(Q6,'SRT Data'!A:EZ,35,TRUE)</f>
        <v>0</v>
      </c>
      <c r="G18" s="78">
        <f>VLOOKUP(Q6,'SRT Data'!A:FA,48,TRUE)</f>
        <v>0</v>
      </c>
      <c r="H18" s="78">
        <f>VLOOKUP(Q6,'SRT Data'!A:FA,61,TRUE)</f>
        <v>0</v>
      </c>
      <c r="I18" s="78">
        <f>VLOOKUP(Q6,'SRT Data'!A:FA,74,TRUE)</f>
        <v>0</v>
      </c>
      <c r="J18" s="78">
        <f>VLOOKUP(Q6,'SRT Data'!A:FA,87,TRUE)</f>
        <v>0</v>
      </c>
      <c r="K18" s="78">
        <f>VLOOKUP(Q6,'SRT Data'!A:FA,100,TRUE)</f>
        <v>0</v>
      </c>
      <c r="L18" s="78">
        <f>VLOOKUP(Q6,'SRT Data'!A:FA,113,TRUE)</f>
        <v>0</v>
      </c>
      <c r="M18" s="78">
        <f>VLOOKUP(Q6,'SRT Data'!A:FA,126,TRUE)</f>
        <v>0</v>
      </c>
      <c r="N18" s="78">
        <f>VLOOKUP(Q6,'SRT Data'!A:FA,139,TRUE)</f>
        <v>0</v>
      </c>
      <c r="O18" s="78">
        <f>VLOOKUP(Q6,'SRT Data'!A:FA,152,TRUE)</f>
        <v>0</v>
      </c>
      <c r="P18" s="79">
        <f>VLOOKUP(Q6,'SRT Data'!A:FO,165,TRUE)</f>
        <v>0</v>
      </c>
      <c r="Q18" s="80" t="e">
        <f t="shared" si="0"/>
        <v>#DIV/0!</v>
      </c>
    </row>
    <row r="19" spans="1:17" ht="30" customHeight="1" x14ac:dyDescent="0.25">
      <c r="A19" s="118">
        <f>VLOOKUP(Q6,'Code Sheet'!A1:L34,10,TRUE)</f>
        <v>0</v>
      </c>
      <c r="B19" s="119"/>
      <c r="C19" s="119"/>
      <c r="D19" s="78">
        <f>VLOOKUP(Q6,'SRT Data'!A:EZ,10,TRUE)</f>
        <v>0</v>
      </c>
      <c r="E19" s="78">
        <f>VLOOKUP(Q6,'SRT Data'!A:EZ,23,TRUE)</f>
        <v>0</v>
      </c>
      <c r="F19" s="78">
        <f>VLOOKUP(Q6,'SRT Data'!A:EZ,36,TRUE)</f>
        <v>0</v>
      </c>
      <c r="G19" s="78">
        <f>VLOOKUP(Q6,'SRT Data'!A:FA,49,TRUE)</f>
        <v>0</v>
      </c>
      <c r="H19" s="78">
        <f>VLOOKUP(Q6,'SRT Data'!A:FA,62,TRUE)</f>
        <v>0</v>
      </c>
      <c r="I19" s="78">
        <f>VLOOKUP(Q6,'SRT Data'!A:FA,75,TRUE)</f>
        <v>0</v>
      </c>
      <c r="J19" s="78">
        <f>VLOOKUP(Q6,'SRT Data'!A:FA,88,TRUE)</f>
        <v>0</v>
      </c>
      <c r="K19" s="78">
        <f>VLOOKUP(Q6,'SRT Data'!A:FA,101,TRUE)</f>
        <v>0</v>
      </c>
      <c r="L19" s="78">
        <f>VLOOKUP(Q6,'SRT Data'!A:FA,114,TRUE)</f>
        <v>0</v>
      </c>
      <c r="M19" s="78">
        <f>VLOOKUP(Q6,'SRT Data'!A:FA,127,TRUE)</f>
        <v>0</v>
      </c>
      <c r="N19" s="78">
        <f>VLOOKUP(Q6,'SRT Data'!A:FA,140,TRUE)</f>
        <v>0</v>
      </c>
      <c r="O19" s="78">
        <f>VLOOKUP(Q6,'SRT Data'!A:FA,153,TRUE)</f>
        <v>0</v>
      </c>
      <c r="P19" s="79">
        <f>VLOOKUP(Q6,'SRT Data'!A:FO,166,TRUE)</f>
        <v>0</v>
      </c>
      <c r="Q19" s="80" t="e">
        <f t="shared" si="0"/>
        <v>#DIV/0!</v>
      </c>
    </row>
    <row r="20" spans="1:17" ht="30" customHeight="1" x14ac:dyDescent="0.25">
      <c r="A20" s="118">
        <f>VLOOKUP(Q6,'Code Sheet'!A1:L34,11,TRUE)</f>
        <v>0</v>
      </c>
      <c r="B20" s="119"/>
      <c r="C20" s="119"/>
      <c r="D20" s="78">
        <f>VLOOKUP(Q6,'SRT Data'!A:EZ,11,TRUE)</f>
        <v>0</v>
      </c>
      <c r="E20" s="78">
        <f>VLOOKUP(Q6,'SRT Data'!A:EZ,24,TRUE)</f>
        <v>0</v>
      </c>
      <c r="F20" s="78">
        <f>VLOOKUP(Q6,'SRT Data'!A:EZ,37,TRUE)</f>
        <v>0</v>
      </c>
      <c r="G20" s="78">
        <f>VLOOKUP(Q6,'SRT Data'!A:FA,50,TRUE)</f>
        <v>0</v>
      </c>
      <c r="H20" s="78">
        <f>VLOOKUP(Q6,'SRT Data'!A:FA,63,TRUE)</f>
        <v>0</v>
      </c>
      <c r="I20" s="78">
        <f>VLOOKUP(Q6,'SRT Data'!A:FA,76,TRUE)</f>
        <v>0</v>
      </c>
      <c r="J20" s="78">
        <f>VLOOKUP(Q6,'SRT Data'!A:FA,89,TRUE)</f>
        <v>0</v>
      </c>
      <c r="K20" s="78">
        <f>VLOOKUP(Q6,'SRT Data'!A:FA,102,TRUE)</f>
        <v>0</v>
      </c>
      <c r="L20" s="78">
        <f>VLOOKUP(Q6,'SRT Data'!A:FA,115,TRUE)</f>
        <v>0</v>
      </c>
      <c r="M20" s="78">
        <f>VLOOKUP(Q6,'SRT Data'!A:FA,128,TRUE)</f>
        <v>0</v>
      </c>
      <c r="N20" s="78">
        <f>VLOOKUP(Q6,'SRT Data'!A:FA,141,TRUE)</f>
        <v>0</v>
      </c>
      <c r="O20" s="78">
        <f>VLOOKUP(Q6,'SRT Data'!A:FA,154,TRUE)</f>
        <v>0</v>
      </c>
      <c r="P20" s="79">
        <f>VLOOKUP(Q6,'SRT Data'!A:FO,167,TRUE)</f>
        <v>0</v>
      </c>
      <c r="Q20" s="80" t="e">
        <f t="shared" si="0"/>
        <v>#DIV/0!</v>
      </c>
    </row>
    <row r="21" spans="1:17" ht="30" customHeight="1" x14ac:dyDescent="0.25">
      <c r="A21" s="118">
        <f>VLOOKUP(Q6,'Code Sheet'!A1:L34,12,TRUE)</f>
        <v>0</v>
      </c>
      <c r="B21" s="119"/>
      <c r="C21" s="119"/>
      <c r="D21" s="78">
        <f>VLOOKUP(Q6,'SRT Data'!A:EZ,12,TRUE)</f>
        <v>0</v>
      </c>
      <c r="E21" s="78">
        <f>VLOOKUP(Q6,'SRT Data'!A:EZ,25,TRUE)</f>
        <v>0</v>
      </c>
      <c r="F21" s="78">
        <f>VLOOKUP(Q6,'SRT Data'!A:EZ,38,TRUE)</f>
        <v>0</v>
      </c>
      <c r="G21" s="78">
        <f>VLOOKUP(Q6,'SRT Data'!A:FA,51,TRUE)</f>
        <v>0</v>
      </c>
      <c r="H21" s="78">
        <f>VLOOKUP(Q6,'SRT Data'!A:FA,64,TRUE)</f>
        <v>0</v>
      </c>
      <c r="I21" s="78">
        <f>VLOOKUP(Q6,'SRT Data'!A:FA,77,TRUE)</f>
        <v>0</v>
      </c>
      <c r="J21" s="78">
        <f>VLOOKUP(Q6,'SRT Data'!A:FA,90,TRUE)</f>
        <v>0</v>
      </c>
      <c r="K21" s="78">
        <f>VLOOKUP(Q6,'SRT Data'!A:FA,103,TRUE)</f>
        <v>0</v>
      </c>
      <c r="L21" s="78">
        <f>VLOOKUP(Q6,'SRT Data'!A:FA,116,TRUE)</f>
        <v>0</v>
      </c>
      <c r="M21" s="78">
        <f>VLOOKUP(Q6,'SRT Data'!A:FA,129,TRUE)</f>
        <v>0</v>
      </c>
      <c r="N21" s="78">
        <f>VLOOKUP(Q6,'SRT Data'!A:FA,142,TRUE)</f>
        <v>0</v>
      </c>
      <c r="O21" s="78">
        <f>VLOOKUP(Q6,'SRT Data'!A:FA,155,TRUE)</f>
        <v>0</v>
      </c>
      <c r="P21" s="79">
        <f>VLOOKUP(Q6,'SRT Data'!A:FO,168,TRUE)</f>
        <v>0</v>
      </c>
      <c r="Q21" s="80" t="e">
        <f t="shared" si="0"/>
        <v>#DIV/0!</v>
      </c>
    </row>
    <row r="22" spans="1:17" ht="30" customHeight="1" x14ac:dyDescent="0.25">
      <c r="A22" s="118">
        <f>VLOOKUP(Q6,'Code Sheet'!A1:M35,13,TRUE)</f>
        <v>0</v>
      </c>
      <c r="B22" s="119"/>
      <c r="C22" s="119"/>
      <c r="D22" s="78">
        <f>VLOOKUP(Q6,'SRT Data'!A:EZ,13,TRUE)</f>
        <v>0</v>
      </c>
      <c r="E22" s="78">
        <f>VLOOKUP(Q6,'SRT Data'!A:EZ,26,TRUE)</f>
        <v>0</v>
      </c>
      <c r="F22" s="78">
        <f>VLOOKUP(Q6,'SRT Data'!A:EZ,39,TRUE)</f>
        <v>0</v>
      </c>
      <c r="G22" s="78">
        <f>VLOOKUP(Q6,'SRT Data'!A:FA,52,TRUE)</f>
        <v>0</v>
      </c>
      <c r="H22" s="78">
        <f>VLOOKUP(Q6,'SRT Data'!A:FA,65,TRUE)</f>
        <v>0</v>
      </c>
      <c r="I22" s="78">
        <f>VLOOKUP(Q6,'SRT Data'!A:FA,78,TRUE)</f>
        <v>0</v>
      </c>
      <c r="J22" s="78">
        <f>VLOOKUP(Q6,'SRT Data'!A:FA,91,TRUE)</f>
        <v>0</v>
      </c>
      <c r="K22" s="78">
        <f>VLOOKUP(Q6,'SRT Data'!A:FA,104,TRUE)</f>
        <v>0</v>
      </c>
      <c r="L22" s="78">
        <f>VLOOKUP(Q6,'SRT Data'!A:FA,117,TRUE)</f>
        <v>0</v>
      </c>
      <c r="M22" s="78">
        <f>VLOOKUP(Q6,'SRT Data'!A:FA,130,TRUE)</f>
        <v>0</v>
      </c>
      <c r="N22" s="78">
        <f>VLOOKUP(Q6,'SRT Data'!A:FA,143,TRUE)</f>
        <v>0</v>
      </c>
      <c r="O22" s="78">
        <f>VLOOKUP(Q6,'SRT Data'!A:FB,156,TRUE)</f>
        <v>0</v>
      </c>
      <c r="P22" s="79">
        <f>VLOOKUP(Q6,'SRT Data'!A:FO,169,TRUE)</f>
        <v>0</v>
      </c>
      <c r="Q22" s="80" t="e">
        <f t="shared" si="0"/>
        <v>#DIV/0!</v>
      </c>
    </row>
    <row r="23" spans="1:17" ht="30" customHeight="1" x14ac:dyDescent="0.25">
      <c r="A23" s="118">
        <f>VLOOKUP(Q6,'Code Sheet'!A1:O34,14,TRUE)</f>
        <v>0</v>
      </c>
      <c r="B23" s="119"/>
      <c r="C23" s="119"/>
      <c r="D23" s="78">
        <f>VLOOKUP(Q6,'SRT Data'!A:EZ,14,TRUE)</f>
        <v>0</v>
      </c>
      <c r="E23" s="78">
        <f>VLOOKUP(Q6,'SRT Data'!A:EZ,27,TRUE)</f>
        <v>0</v>
      </c>
      <c r="F23" s="78">
        <f>VLOOKUP(Q6,'SRT Data'!A:EZ,40,TRUE)</f>
        <v>0</v>
      </c>
      <c r="G23" s="78">
        <f>VLOOKUP(Q6,'SRT Data'!A:FA,53,TRUE)</f>
        <v>0</v>
      </c>
      <c r="H23" s="78">
        <f>VLOOKUP(Q6,'SRT Data'!A:FA,66,TRUE)</f>
        <v>0</v>
      </c>
      <c r="I23" s="78">
        <f>VLOOKUP(Q6,'SRT Data'!A:FA,79,TRUE)</f>
        <v>0</v>
      </c>
      <c r="J23" s="78">
        <f>VLOOKUP(Q6,'SRT Data'!A:FA,92,TRUE)</f>
        <v>0</v>
      </c>
      <c r="K23" s="78">
        <f>VLOOKUP(Q6,'SRT Data'!A:FA,105,TRUE)</f>
        <v>0</v>
      </c>
      <c r="L23" s="78">
        <f>VLOOKUP(Q6,'SRT Data'!A:FA,118,TRUE)</f>
        <v>0</v>
      </c>
      <c r="M23" s="78">
        <f>VLOOKUP(Q6,'SRT Data'!A:FA,131,TRUE)</f>
        <v>0</v>
      </c>
      <c r="N23" s="78">
        <f>VLOOKUP(Q6,'SRT Data'!A:FA,144,TRUE)</f>
        <v>0</v>
      </c>
      <c r="O23" s="78">
        <f>VLOOKUP(Q6,'SRT Data'!A:FB,157,TRUE)</f>
        <v>0</v>
      </c>
      <c r="P23" s="79">
        <f>VLOOKUP(Q6,'SRT Data'!A:FO,170,TRUE)</f>
        <v>0</v>
      </c>
      <c r="Q23" s="80" t="e">
        <f t="shared" si="0"/>
        <v>#DIV/0!</v>
      </c>
    </row>
    <row r="24" spans="1:17" ht="30" customHeight="1" thickBot="1" x14ac:dyDescent="0.3">
      <c r="A24" s="120">
        <f>VLOOKUP(Q6,'Code Sheet'!A1:O37,15,TRUE)</f>
        <v>0</v>
      </c>
      <c r="B24" s="121"/>
      <c r="C24" s="121"/>
      <c r="D24" s="81">
        <f>VLOOKUP(Q6,'SRT Data'!A:EZ,15,TRUE)</f>
        <v>0</v>
      </c>
      <c r="E24" s="81">
        <f>VLOOKUP(Q6,'SRT Data'!A:EZ,28,TRUE)</f>
        <v>0</v>
      </c>
      <c r="F24" s="81">
        <f>VLOOKUP(Q6,'SRT Data'!A:EZ,41,TRUE)</f>
        <v>0</v>
      </c>
      <c r="G24" s="81">
        <f>VLOOKUP(Q6,'SRT Data'!A:FA,54,TRUE)</f>
        <v>0</v>
      </c>
      <c r="H24" s="81">
        <f>VLOOKUP(Q6,'SRT Data'!A:FA,67,TRUE)</f>
        <v>0</v>
      </c>
      <c r="I24" s="81">
        <f>VLOOKUP(Q6,'SRT Data'!A:FA,80,TRUE)</f>
        <v>0</v>
      </c>
      <c r="J24" s="81">
        <f>VLOOKUP(Q6,'SRT Data'!A:FA,93,TRUE)</f>
        <v>0</v>
      </c>
      <c r="K24" s="81">
        <f>VLOOKUP(Q6,'SRT Data'!A:FA,106,TRUE)</f>
        <v>0</v>
      </c>
      <c r="L24" s="81">
        <f>VLOOKUP(Q6,'SRT Data'!A:FA,119,TRUE)</f>
        <v>0</v>
      </c>
      <c r="M24" s="81">
        <f>VLOOKUP(Q6,'SRT Data'!A:FA,132,TRUE)</f>
        <v>0</v>
      </c>
      <c r="N24" s="81">
        <f>VLOOKUP(Q6,'SRT Data'!A:FA,145,TRUE)</f>
        <v>0</v>
      </c>
      <c r="O24" s="81">
        <f>VLOOKUP(Q6,'SRT Data'!A:FB,158,TRUE)</f>
        <v>0</v>
      </c>
      <c r="P24" s="82">
        <f>VLOOKUP(Q6,'SRT Data'!A:FO,171,TRUE)</f>
        <v>0</v>
      </c>
      <c r="Q24" s="83" t="e">
        <f t="shared" si="0"/>
        <v>#DIV/0!</v>
      </c>
    </row>
    <row r="25" spans="1:17" ht="13.8" thickTop="1" x14ac:dyDescent="0.25">
      <c r="A25" s="3"/>
      <c r="B25" s="3"/>
      <c r="C25" s="3"/>
      <c r="D25" s="3"/>
      <c r="E25" s="3"/>
      <c r="F25" s="3"/>
      <c r="G25" s="3"/>
      <c r="H25" s="3"/>
      <c r="I25" s="3"/>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3"/>
  <sheetViews>
    <sheetView zoomScale="90" zoomScaleNormal="90" workbookViewId="0">
      <pane xSplit="3300" topLeftCell="CM1" activePane="topRight"/>
      <selection activeCell="A7" sqref="A7:XFD7"/>
      <selection pane="topRight" activeCell="CU11" sqref="CU11"/>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9" t="s">
        <v>3</v>
      </c>
      <c r="B1" s="9" t="s">
        <v>1</v>
      </c>
      <c r="C1" s="9" t="s">
        <v>90</v>
      </c>
      <c r="D1" s="9" t="s">
        <v>91</v>
      </c>
      <c r="E1" s="9" t="s">
        <v>92</v>
      </c>
      <c r="F1" s="9" t="s">
        <v>93</v>
      </c>
      <c r="G1" s="9" t="s">
        <v>94</v>
      </c>
      <c r="H1" s="9" t="s">
        <v>95</v>
      </c>
      <c r="I1" s="9" t="s">
        <v>96</v>
      </c>
      <c r="J1" s="9" t="s">
        <v>97</v>
      </c>
      <c r="K1" s="9" t="s">
        <v>98</v>
      </c>
      <c r="L1" s="9" t="s">
        <v>99</v>
      </c>
      <c r="M1" s="9" t="s">
        <v>283</v>
      </c>
      <c r="N1" s="9" t="s">
        <v>284</v>
      </c>
      <c r="O1" s="9" t="s">
        <v>285</v>
      </c>
      <c r="P1" s="9" t="s">
        <v>102</v>
      </c>
      <c r="Q1" s="9" t="s">
        <v>103</v>
      </c>
      <c r="R1" s="9" t="s">
        <v>104</v>
      </c>
      <c r="S1" s="9" t="s">
        <v>105</v>
      </c>
      <c r="T1" s="9" t="s">
        <v>106</v>
      </c>
      <c r="U1" s="9" t="s">
        <v>107</v>
      </c>
      <c r="V1" s="9" t="s">
        <v>108</v>
      </c>
      <c r="W1" s="9" t="s">
        <v>109</v>
      </c>
      <c r="X1" s="9" t="s">
        <v>110</v>
      </c>
      <c r="Y1" s="9" t="s">
        <v>111</v>
      </c>
      <c r="Z1" s="9" t="s">
        <v>286</v>
      </c>
      <c r="AA1" s="9" t="s">
        <v>287</v>
      </c>
      <c r="AB1" s="9" t="s">
        <v>288</v>
      </c>
      <c r="AC1" s="9" t="s">
        <v>112</v>
      </c>
      <c r="AD1" s="9" t="s">
        <v>113</v>
      </c>
      <c r="AE1" s="9" t="s">
        <v>114</v>
      </c>
      <c r="AF1" s="9" t="s">
        <v>115</v>
      </c>
      <c r="AG1" s="9" t="s">
        <v>116</v>
      </c>
      <c r="AH1" s="9" t="s">
        <v>117</v>
      </c>
      <c r="AI1" s="9" t="s">
        <v>118</v>
      </c>
      <c r="AJ1" s="9" t="s">
        <v>119</v>
      </c>
      <c r="AK1" s="9" t="s">
        <v>120</v>
      </c>
      <c r="AL1" s="9" t="s">
        <v>121</v>
      </c>
      <c r="AM1" s="9" t="s">
        <v>289</v>
      </c>
      <c r="AN1" s="9" t="s">
        <v>290</v>
      </c>
      <c r="AO1" s="9" t="s">
        <v>291</v>
      </c>
      <c r="AP1" s="9" t="s">
        <v>127</v>
      </c>
      <c r="AQ1" s="9" t="s">
        <v>128</v>
      </c>
      <c r="AR1" s="9" t="s">
        <v>129</v>
      </c>
      <c r="AS1" s="9" t="s">
        <v>130</v>
      </c>
      <c r="AT1" s="9" t="s">
        <v>131</v>
      </c>
      <c r="AU1" s="9" t="s">
        <v>132</v>
      </c>
      <c r="AV1" s="9" t="s">
        <v>133</v>
      </c>
      <c r="AW1" s="9" t="s">
        <v>134</v>
      </c>
      <c r="AX1" s="9" t="s">
        <v>135</v>
      </c>
      <c r="AY1" s="9" t="s">
        <v>136</v>
      </c>
      <c r="AZ1" s="9" t="s">
        <v>292</v>
      </c>
      <c r="BA1" s="9" t="s">
        <v>293</v>
      </c>
      <c r="BB1" s="9" t="s">
        <v>294</v>
      </c>
      <c r="BC1" s="9" t="s">
        <v>137</v>
      </c>
      <c r="BD1" s="9" t="s">
        <v>138</v>
      </c>
      <c r="BE1" s="9" t="s">
        <v>139</v>
      </c>
      <c r="BF1" s="9" t="s">
        <v>140</v>
      </c>
      <c r="BG1" s="9" t="s">
        <v>141</v>
      </c>
      <c r="BH1" s="9" t="s">
        <v>142</v>
      </c>
      <c r="BI1" s="9" t="s">
        <v>143</v>
      </c>
      <c r="BJ1" s="9" t="s">
        <v>144</v>
      </c>
      <c r="BK1" s="9" t="s">
        <v>145</v>
      </c>
      <c r="BL1" s="9" t="s">
        <v>146</v>
      </c>
      <c r="BM1" s="9" t="s">
        <v>295</v>
      </c>
      <c r="BN1" s="9" t="s">
        <v>296</v>
      </c>
      <c r="BO1" s="9" t="s">
        <v>297</v>
      </c>
      <c r="BP1" s="9" t="s">
        <v>147</v>
      </c>
      <c r="BQ1" s="9" t="s">
        <v>148</v>
      </c>
      <c r="BR1" s="9" t="s">
        <v>149</v>
      </c>
      <c r="BS1" s="9" t="s">
        <v>150</v>
      </c>
      <c r="BT1" s="9" t="s">
        <v>151</v>
      </c>
      <c r="BU1" s="9" t="s">
        <v>152</v>
      </c>
      <c r="BV1" s="9" t="s">
        <v>153</v>
      </c>
      <c r="BW1" s="9" t="s">
        <v>154</v>
      </c>
      <c r="BX1" s="9" t="s">
        <v>155</v>
      </c>
      <c r="BY1" s="9" t="s">
        <v>156</v>
      </c>
      <c r="BZ1" s="9" t="s">
        <v>298</v>
      </c>
      <c r="CA1" s="9" t="s">
        <v>299</v>
      </c>
      <c r="CB1" s="9" t="s">
        <v>300</v>
      </c>
      <c r="CC1" s="9" t="s">
        <v>157</v>
      </c>
      <c r="CD1" s="9" t="s">
        <v>158</v>
      </c>
      <c r="CE1" s="9" t="s">
        <v>159</v>
      </c>
      <c r="CF1" s="9" t="s">
        <v>160</v>
      </c>
      <c r="CG1" s="9" t="s">
        <v>161</v>
      </c>
      <c r="CH1" s="9" t="s">
        <v>162</v>
      </c>
      <c r="CI1" s="9" t="s">
        <v>163</v>
      </c>
      <c r="CJ1" s="9" t="s">
        <v>164</v>
      </c>
      <c r="CK1" s="9" t="s">
        <v>165</v>
      </c>
      <c r="CL1" s="9" t="s">
        <v>166</v>
      </c>
      <c r="CM1" s="9" t="s">
        <v>301</v>
      </c>
      <c r="CN1" s="9" t="s">
        <v>302</v>
      </c>
      <c r="CO1" s="9" t="s">
        <v>303</v>
      </c>
      <c r="CP1" s="9" t="s">
        <v>167</v>
      </c>
      <c r="CQ1" s="9" t="s">
        <v>168</v>
      </c>
      <c r="CR1" s="9" t="s">
        <v>169</v>
      </c>
      <c r="CS1" s="9" t="s">
        <v>170</v>
      </c>
      <c r="CT1" s="9" t="s">
        <v>171</v>
      </c>
      <c r="CU1" s="9" t="s">
        <v>172</v>
      </c>
      <c r="CV1" s="9" t="s">
        <v>173</v>
      </c>
      <c r="CW1" s="9" t="s">
        <v>174</v>
      </c>
      <c r="CX1" s="9" t="s">
        <v>175</v>
      </c>
      <c r="CY1" s="9" t="s">
        <v>176</v>
      </c>
      <c r="CZ1" s="9" t="s">
        <v>304</v>
      </c>
      <c r="DA1" s="9" t="s">
        <v>305</v>
      </c>
      <c r="DB1" s="9" t="s">
        <v>306</v>
      </c>
      <c r="DC1" s="9" t="s">
        <v>177</v>
      </c>
      <c r="DD1" s="9" t="s">
        <v>178</v>
      </c>
      <c r="DE1" s="9" t="s">
        <v>179</v>
      </c>
      <c r="DF1" s="9" t="s">
        <v>180</v>
      </c>
      <c r="DG1" s="9" t="s">
        <v>181</v>
      </c>
      <c r="DH1" s="9" t="s">
        <v>182</v>
      </c>
      <c r="DI1" s="9" t="s">
        <v>183</v>
      </c>
      <c r="DJ1" s="9" t="s">
        <v>184</v>
      </c>
      <c r="DK1" s="9" t="s">
        <v>185</v>
      </c>
      <c r="DL1" s="9" t="s">
        <v>186</v>
      </c>
      <c r="DM1" s="9" t="s">
        <v>307</v>
      </c>
      <c r="DN1" s="9" t="s">
        <v>308</v>
      </c>
      <c r="DO1" s="9" t="s">
        <v>309</v>
      </c>
      <c r="DP1" s="9" t="s">
        <v>190</v>
      </c>
      <c r="DQ1" s="9" t="s">
        <v>191</v>
      </c>
      <c r="DR1" s="9" t="s">
        <v>192</v>
      </c>
      <c r="DS1" s="9" t="s">
        <v>193</v>
      </c>
      <c r="DT1" s="9" t="s">
        <v>194</v>
      </c>
      <c r="DU1" s="9" t="s">
        <v>195</v>
      </c>
      <c r="DV1" s="9" t="s">
        <v>196</v>
      </c>
      <c r="DW1" s="9" t="s">
        <v>197</v>
      </c>
      <c r="DX1" s="9" t="s">
        <v>198</v>
      </c>
      <c r="DY1" s="9" t="s">
        <v>199</v>
      </c>
      <c r="DZ1" s="9" t="s">
        <v>310</v>
      </c>
      <c r="EA1" s="9" t="s">
        <v>311</v>
      </c>
      <c r="EB1" s="9" t="s">
        <v>312</v>
      </c>
      <c r="EC1" s="9" t="s">
        <v>200</v>
      </c>
      <c r="ED1" s="9" t="s">
        <v>201</v>
      </c>
      <c r="EE1" s="9" t="s">
        <v>202</v>
      </c>
      <c r="EF1" s="9" t="s">
        <v>203</v>
      </c>
      <c r="EG1" s="9" t="s">
        <v>204</v>
      </c>
      <c r="EH1" s="9" t="s">
        <v>205</v>
      </c>
      <c r="EI1" s="9" t="s">
        <v>206</v>
      </c>
      <c r="EJ1" s="9" t="s">
        <v>207</v>
      </c>
      <c r="EK1" s="9" t="s">
        <v>208</v>
      </c>
      <c r="EL1" s="9" t="s">
        <v>209</v>
      </c>
      <c r="EM1" s="9" t="s">
        <v>313</v>
      </c>
      <c r="EN1" s="9" t="s">
        <v>314</v>
      </c>
      <c r="EO1" s="9" t="s">
        <v>315</v>
      </c>
      <c r="EP1" s="9" t="s">
        <v>210</v>
      </c>
      <c r="EQ1" s="9" t="s">
        <v>211</v>
      </c>
      <c r="ER1" s="9" t="s">
        <v>212</v>
      </c>
      <c r="ES1" s="9" t="s">
        <v>213</v>
      </c>
      <c r="ET1" s="9" t="s">
        <v>214</v>
      </c>
      <c r="EU1" s="9" t="s">
        <v>215</v>
      </c>
      <c r="EV1" s="9" t="s">
        <v>216</v>
      </c>
      <c r="EW1" s="9" t="s">
        <v>217</v>
      </c>
      <c r="EX1" s="9" t="s">
        <v>218</v>
      </c>
      <c r="EY1" s="9" t="s">
        <v>219</v>
      </c>
      <c r="EZ1" s="9" t="s">
        <v>316</v>
      </c>
      <c r="FA1" s="9" t="s">
        <v>317</v>
      </c>
      <c r="FB1" s="9" t="s">
        <v>318</v>
      </c>
      <c r="FC1" s="9" t="s">
        <v>414</v>
      </c>
      <c r="FD1" s="9" t="s">
        <v>415</v>
      </c>
      <c r="FE1" s="9" t="s">
        <v>416</v>
      </c>
      <c r="FF1" s="9" t="s">
        <v>417</v>
      </c>
      <c r="FG1" s="9" t="s">
        <v>418</v>
      </c>
      <c r="FH1" s="9" t="s">
        <v>419</v>
      </c>
      <c r="FI1" s="9" t="s">
        <v>420</v>
      </c>
      <c r="FJ1" s="9" t="s">
        <v>421</v>
      </c>
      <c r="FK1" s="9" t="s">
        <v>422</v>
      </c>
      <c r="FL1" s="9" t="s">
        <v>423</v>
      </c>
      <c r="FM1" s="9" t="s">
        <v>424</v>
      </c>
      <c r="FN1" s="9" t="s">
        <v>425</v>
      </c>
      <c r="FO1" s="9" t="s">
        <v>426</v>
      </c>
    </row>
    <row r="2" spans="1:171" x14ac:dyDescent="0.25">
      <c r="A2" s="25">
        <v>1</v>
      </c>
      <c r="B2" s="26" t="s">
        <v>221</v>
      </c>
      <c r="C2" s="16">
        <v>7672</v>
      </c>
      <c r="D2" s="16">
        <v>3</v>
      </c>
      <c r="E2" s="16">
        <v>18</v>
      </c>
      <c r="F2" s="16">
        <v>1424</v>
      </c>
      <c r="G2" s="16">
        <v>22</v>
      </c>
      <c r="H2" s="16" t="s">
        <v>499</v>
      </c>
      <c r="I2" s="16"/>
      <c r="J2" s="11"/>
      <c r="K2" s="11"/>
      <c r="L2" s="9"/>
      <c r="M2" s="9"/>
      <c r="N2" s="9"/>
      <c r="O2" s="9"/>
      <c r="P2" s="16">
        <v>6681</v>
      </c>
      <c r="Q2" s="16">
        <v>5</v>
      </c>
      <c r="R2" s="16">
        <v>18</v>
      </c>
      <c r="S2" s="16">
        <v>3254</v>
      </c>
      <c r="T2" s="16">
        <v>2</v>
      </c>
      <c r="U2" s="17"/>
      <c r="V2" s="17"/>
      <c r="W2" s="17"/>
      <c r="X2" s="17"/>
      <c r="Y2" s="17"/>
      <c r="Z2" s="17"/>
      <c r="AA2" s="17"/>
      <c r="AB2" s="17"/>
      <c r="AC2" s="16">
        <v>2656</v>
      </c>
      <c r="AD2" s="16">
        <v>6</v>
      </c>
      <c r="AE2" s="16">
        <v>13</v>
      </c>
      <c r="AF2" s="16">
        <v>5060</v>
      </c>
      <c r="AG2" s="16">
        <v>6</v>
      </c>
      <c r="AH2" s="16"/>
      <c r="AI2" s="16"/>
      <c r="AJ2" s="16"/>
      <c r="AK2" s="16"/>
      <c r="AL2" s="16"/>
      <c r="AM2" s="16"/>
      <c r="AN2" s="16"/>
      <c r="AO2" s="16"/>
      <c r="AP2" s="16">
        <v>9577</v>
      </c>
      <c r="AQ2" s="16">
        <v>11</v>
      </c>
      <c r="AR2" s="16">
        <v>19</v>
      </c>
      <c r="AS2" s="16">
        <v>5445</v>
      </c>
      <c r="AT2" s="16">
        <v>14</v>
      </c>
      <c r="AU2" s="16"/>
      <c r="AV2" s="16"/>
      <c r="AW2" s="16"/>
      <c r="AX2" s="16"/>
      <c r="AY2" s="16"/>
      <c r="AZ2" s="16"/>
      <c r="BA2" s="16"/>
      <c r="BB2" s="16"/>
      <c r="BC2" s="16">
        <v>7412</v>
      </c>
      <c r="BD2" s="16">
        <v>5</v>
      </c>
      <c r="BE2" s="16">
        <v>13</v>
      </c>
      <c r="BF2" s="16">
        <v>5061</v>
      </c>
      <c r="BG2" s="16">
        <v>17</v>
      </c>
      <c r="BH2" s="16"/>
      <c r="BI2" s="16"/>
      <c r="BJ2" s="16"/>
      <c r="BK2" s="16"/>
      <c r="BL2" s="16"/>
      <c r="BM2" s="16"/>
      <c r="BN2" s="16"/>
      <c r="BO2" s="16"/>
      <c r="BP2">
        <v>2030</v>
      </c>
      <c r="BQ2">
        <v>9</v>
      </c>
      <c r="BR2">
        <v>9</v>
      </c>
      <c r="BS2">
        <v>7230</v>
      </c>
      <c r="BT2">
        <v>1</v>
      </c>
      <c r="BU2" s="16"/>
      <c r="BV2" s="16"/>
      <c r="BW2" s="16"/>
      <c r="BX2" s="16"/>
      <c r="BY2" s="16"/>
      <c r="BZ2" s="16"/>
      <c r="CA2" s="16"/>
      <c r="CB2" s="16"/>
      <c r="CC2" s="16">
        <v>2675</v>
      </c>
      <c r="CD2" s="16">
        <v>5</v>
      </c>
      <c r="CE2" s="16">
        <v>21</v>
      </c>
      <c r="CF2" s="16">
        <v>1618</v>
      </c>
      <c r="CG2" s="16">
        <v>1</v>
      </c>
      <c r="CH2" s="16"/>
      <c r="CI2" s="16"/>
      <c r="CJ2" s="16"/>
      <c r="CK2" s="16"/>
      <c r="CL2" s="16"/>
      <c r="CM2" s="16"/>
      <c r="CN2" s="16"/>
      <c r="CO2" s="16"/>
      <c r="CP2" s="16">
        <v>7431</v>
      </c>
      <c r="CQ2" s="16">
        <v>2</v>
      </c>
      <c r="CR2" s="16">
        <v>19</v>
      </c>
      <c r="CS2" s="16">
        <v>2901</v>
      </c>
      <c r="CT2" s="16">
        <v>2</v>
      </c>
      <c r="CU2" s="16"/>
      <c r="CV2" s="11"/>
      <c r="CW2" s="11"/>
      <c r="CX2" s="11"/>
      <c r="CY2" s="11"/>
      <c r="CZ2" s="11"/>
      <c r="DA2" s="11"/>
      <c r="DB2" s="11"/>
      <c r="DC2" s="16"/>
      <c r="DD2" s="16"/>
      <c r="DE2" s="16"/>
      <c r="DF2" s="16"/>
      <c r="DG2" s="16"/>
      <c r="DH2" s="16"/>
      <c r="DI2" s="16"/>
      <c r="DJ2" s="16"/>
      <c r="DK2" s="16"/>
      <c r="DL2" s="16"/>
      <c r="DM2" s="16"/>
      <c r="DN2" s="11"/>
      <c r="DO2" s="11"/>
      <c r="DP2" s="16"/>
      <c r="DQ2" s="16"/>
      <c r="DR2" s="16"/>
      <c r="DS2" s="16"/>
      <c r="DT2" s="16"/>
      <c r="DU2" s="16"/>
      <c r="DV2" s="16"/>
      <c r="DW2" s="16"/>
      <c r="DX2" s="16"/>
      <c r="DY2" s="16"/>
      <c r="DZ2" s="16"/>
      <c r="EA2" s="16"/>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56">
        <v>60000</v>
      </c>
      <c r="FD2" s="56">
        <v>75</v>
      </c>
      <c r="FE2" s="56">
        <v>190</v>
      </c>
      <c r="FF2" s="56">
        <v>45000</v>
      </c>
      <c r="FG2" s="56">
        <v>60</v>
      </c>
      <c r="FH2" s="56"/>
      <c r="FI2" s="56"/>
      <c r="FJ2" s="56"/>
      <c r="FK2" s="56"/>
      <c r="FL2" s="56"/>
      <c r="FM2" s="56"/>
      <c r="FN2" s="56"/>
      <c r="FO2" s="56"/>
    </row>
    <row r="3" spans="1:171" x14ac:dyDescent="0.25">
      <c r="A3" s="29">
        <v>2</v>
      </c>
      <c r="B3" s="27" t="s">
        <v>4</v>
      </c>
      <c r="C3" s="16">
        <v>1322</v>
      </c>
      <c r="D3" s="16">
        <v>2224</v>
      </c>
      <c r="E3" s="16">
        <v>3818</v>
      </c>
      <c r="F3" s="16">
        <v>30</v>
      </c>
      <c r="G3" s="16">
        <v>5125</v>
      </c>
      <c r="H3" s="16">
        <v>9</v>
      </c>
      <c r="I3" s="16">
        <v>213</v>
      </c>
      <c r="J3" s="16">
        <v>1000</v>
      </c>
      <c r="K3" s="11"/>
      <c r="L3" s="11"/>
      <c r="M3" s="11"/>
      <c r="N3" s="11"/>
      <c r="O3" s="11"/>
      <c r="P3" s="16">
        <v>1045</v>
      </c>
      <c r="Q3" s="16">
        <v>2798</v>
      </c>
      <c r="R3" s="16">
        <v>4175</v>
      </c>
      <c r="S3" s="16">
        <v>30</v>
      </c>
      <c r="T3" s="16">
        <v>5150</v>
      </c>
      <c r="U3" s="16">
        <v>9</v>
      </c>
      <c r="V3" s="16">
        <v>225</v>
      </c>
      <c r="W3" s="16">
        <v>1150</v>
      </c>
      <c r="X3" s="16"/>
      <c r="Y3" s="16"/>
      <c r="Z3" s="16"/>
      <c r="AA3" s="16"/>
      <c r="AB3" s="16"/>
      <c r="AC3" s="16">
        <v>998</v>
      </c>
      <c r="AD3" s="16">
        <v>2070</v>
      </c>
      <c r="AE3" s="16">
        <v>5270</v>
      </c>
      <c r="AF3" s="16">
        <v>30</v>
      </c>
      <c r="AG3" s="16">
        <v>5115</v>
      </c>
      <c r="AH3" s="16">
        <v>9</v>
      </c>
      <c r="AI3" s="16">
        <v>225</v>
      </c>
      <c r="AJ3" s="16">
        <v>1150</v>
      </c>
      <c r="AK3" s="16"/>
      <c r="AL3" s="16"/>
      <c r="AM3" s="16"/>
      <c r="AN3" s="16"/>
      <c r="AO3" s="16"/>
      <c r="AP3" s="16">
        <v>1388</v>
      </c>
      <c r="AQ3" s="16">
        <v>3066</v>
      </c>
      <c r="AR3" s="16">
        <v>4353</v>
      </c>
      <c r="AS3" s="16">
        <v>30</v>
      </c>
      <c r="AT3" s="16">
        <v>5150</v>
      </c>
      <c r="AU3" s="16">
        <v>9</v>
      </c>
      <c r="AV3" s="16">
        <v>225</v>
      </c>
      <c r="AW3" s="16">
        <v>1000</v>
      </c>
      <c r="AX3" s="16"/>
      <c r="AY3" s="16"/>
      <c r="AZ3" s="16"/>
      <c r="BA3" s="16"/>
      <c r="BB3" s="16"/>
      <c r="BC3" s="16">
        <v>776</v>
      </c>
      <c r="BD3" s="16">
        <v>2039</v>
      </c>
      <c r="BE3" s="16">
        <v>3359</v>
      </c>
      <c r="BF3" s="16">
        <v>30</v>
      </c>
      <c r="BG3" s="16">
        <v>5150</v>
      </c>
      <c r="BH3" s="16">
        <v>9</v>
      </c>
      <c r="BI3" s="16">
        <v>225</v>
      </c>
      <c r="BJ3" s="16">
        <v>1430</v>
      </c>
      <c r="BK3" s="16"/>
      <c r="BL3" s="16"/>
      <c r="BM3" s="16"/>
      <c r="BN3" s="16"/>
      <c r="BO3" s="16"/>
      <c r="BP3" s="16">
        <v>629</v>
      </c>
      <c r="BQ3" s="16">
        <v>2969</v>
      </c>
      <c r="BR3" s="16">
        <v>3964</v>
      </c>
      <c r="BS3" s="16">
        <v>30</v>
      </c>
      <c r="BT3" s="16">
        <v>5150</v>
      </c>
      <c r="BU3" s="16">
        <v>9</v>
      </c>
      <c r="BV3" s="16">
        <v>225</v>
      </c>
      <c r="BW3" s="16">
        <v>1480</v>
      </c>
      <c r="BX3" s="16"/>
      <c r="BY3" s="16"/>
      <c r="BZ3" s="16"/>
      <c r="CA3" s="16"/>
      <c r="CB3" s="16"/>
      <c r="CC3" s="16">
        <v>1282</v>
      </c>
      <c r="CD3" s="16">
        <v>3086</v>
      </c>
      <c r="CE3" s="16">
        <v>3671</v>
      </c>
      <c r="CF3" s="16">
        <v>29</v>
      </c>
      <c r="CG3" s="16">
        <v>5125</v>
      </c>
      <c r="CH3" s="16">
        <v>9</v>
      </c>
      <c r="CI3" s="16">
        <v>225</v>
      </c>
      <c r="CJ3" s="16">
        <v>1430</v>
      </c>
      <c r="CK3" s="16"/>
      <c r="CL3" s="16"/>
      <c r="CM3" s="16"/>
      <c r="CN3" s="16"/>
      <c r="CO3" s="16"/>
      <c r="CP3" s="16">
        <v>1203</v>
      </c>
      <c r="CQ3" s="16">
        <v>3184</v>
      </c>
      <c r="CR3" s="16">
        <v>3639</v>
      </c>
      <c r="CS3" s="16">
        <v>29</v>
      </c>
      <c r="CT3" s="16">
        <v>5125</v>
      </c>
      <c r="CU3" s="16">
        <v>9</v>
      </c>
      <c r="CV3" s="16">
        <v>225</v>
      </c>
      <c r="CW3" s="16">
        <v>1430</v>
      </c>
      <c r="CX3" s="11"/>
      <c r="CY3" s="11"/>
      <c r="CZ3" s="11"/>
      <c r="DA3" s="11"/>
      <c r="DB3" s="11"/>
      <c r="DC3" s="10"/>
      <c r="DD3" s="10"/>
      <c r="DE3" s="10"/>
      <c r="DF3" s="10"/>
      <c r="DG3" s="10"/>
      <c r="DH3" s="10"/>
      <c r="DI3" s="10"/>
      <c r="DJ3" s="10"/>
      <c r="DK3" s="11"/>
      <c r="DL3" s="11"/>
      <c r="DM3" s="11"/>
      <c r="DN3" s="11"/>
      <c r="DO3" s="11"/>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56">
        <v>15000</v>
      </c>
      <c r="FD3" s="56">
        <v>37000</v>
      </c>
      <c r="FE3" s="56">
        <v>65000</v>
      </c>
      <c r="FF3" s="56">
        <v>30</v>
      </c>
      <c r="FG3" s="56">
        <v>57000</v>
      </c>
      <c r="FH3" s="56">
        <v>6</v>
      </c>
      <c r="FI3" s="56">
        <v>1700</v>
      </c>
      <c r="FJ3" s="56">
        <v>7500</v>
      </c>
      <c r="FK3" s="56"/>
      <c r="FL3" s="56"/>
      <c r="FM3" s="56"/>
      <c r="FN3" s="56"/>
      <c r="FO3" s="56"/>
    </row>
    <row r="4" spans="1:171" x14ac:dyDescent="0.25">
      <c r="A4" s="29">
        <v>3</v>
      </c>
      <c r="B4" s="27" t="s">
        <v>235</v>
      </c>
      <c r="C4" s="16">
        <v>299</v>
      </c>
      <c r="D4" s="16">
        <v>14.2</v>
      </c>
      <c r="E4" s="16">
        <v>159</v>
      </c>
      <c r="F4" s="16">
        <v>52</v>
      </c>
      <c r="G4" s="16">
        <v>1</v>
      </c>
      <c r="H4" s="16">
        <v>18</v>
      </c>
      <c r="I4" s="16">
        <v>1</v>
      </c>
      <c r="J4" s="16">
        <v>10</v>
      </c>
      <c r="K4" s="11"/>
      <c r="L4" s="9"/>
      <c r="M4" s="9"/>
      <c r="N4" s="9"/>
      <c r="O4" s="9"/>
      <c r="P4" s="16">
        <v>254</v>
      </c>
      <c r="Q4" s="16">
        <v>11</v>
      </c>
      <c r="R4" s="16">
        <v>131</v>
      </c>
      <c r="S4" s="16">
        <v>53</v>
      </c>
      <c r="T4" s="16">
        <v>0</v>
      </c>
      <c r="U4" s="16">
        <v>7</v>
      </c>
      <c r="V4" s="16">
        <v>19</v>
      </c>
      <c r="W4" s="16">
        <v>47</v>
      </c>
      <c r="X4" s="16"/>
      <c r="Y4" s="16"/>
      <c r="Z4" s="16"/>
      <c r="AA4" s="16"/>
      <c r="AB4" s="16"/>
      <c r="AC4" s="16">
        <v>196</v>
      </c>
      <c r="AD4" s="16">
        <v>10.9</v>
      </c>
      <c r="AE4" s="16">
        <v>98</v>
      </c>
      <c r="AF4" s="16">
        <v>36</v>
      </c>
      <c r="AG4" s="16">
        <v>1</v>
      </c>
      <c r="AH4" s="16">
        <v>10</v>
      </c>
      <c r="AI4" s="16">
        <v>15</v>
      </c>
      <c r="AJ4" s="16">
        <v>27</v>
      </c>
      <c r="AK4" s="16"/>
      <c r="AL4" s="16"/>
      <c r="AM4" s="16"/>
      <c r="AN4" s="16"/>
      <c r="AO4" s="16"/>
      <c r="AP4" s="16">
        <v>291</v>
      </c>
      <c r="AQ4" s="16">
        <v>12.6</v>
      </c>
      <c r="AR4" s="16">
        <v>127</v>
      </c>
      <c r="AS4" s="16">
        <v>30</v>
      </c>
      <c r="AT4" s="16">
        <v>1</v>
      </c>
      <c r="AU4" s="16">
        <v>6</v>
      </c>
      <c r="AV4" s="16">
        <v>12</v>
      </c>
      <c r="AW4" s="16">
        <v>73</v>
      </c>
      <c r="AX4" s="16"/>
      <c r="AY4" s="16"/>
      <c r="AZ4" s="16"/>
      <c r="BA4" s="16"/>
      <c r="BB4" s="16"/>
      <c r="BC4" s="16">
        <v>210</v>
      </c>
      <c r="BD4" s="16">
        <v>11.1</v>
      </c>
      <c r="BE4" s="16">
        <v>91</v>
      </c>
      <c r="BF4" s="16">
        <v>30</v>
      </c>
      <c r="BG4" s="16">
        <v>1</v>
      </c>
      <c r="BH4" s="16">
        <v>8</v>
      </c>
      <c r="BI4" s="16">
        <v>22</v>
      </c>
      <c r="BJ4" s="16">
        <v>36</v>
      </c>
      <c r="BK4" s="16"/>
      <c r="BL4" s="16"/>
      <c r="BM4" s="16"/>
      <c r="BN4" s="16"/>
      <c r="BO4" s="16"/>
      <c r="BP4" s="16">
        <v>241</v>
      </c>
      <c r="BQ4" s="16">
        <v>13.4</v>
      </c>
      <c r="BR4" s="16">
        <v>88</v>
      </c>
      <c r="BS4" s="16">
        <v>22</v>
      </c>
      <c r="BT4" s="16">
        <v>0</v>
      </c>
      <c r="BU4" s="16">
        <v>9</v>
      </c>
      <c r="BV4" s="16">
        <v>9</v>
      </c>
      <c r="BW4" s="16">
        <v>39</v>
      </c>
      <c r="BX4" s="16"/>
      <c r="BY4" s="16"/>
      <c r="BZ4" s="16"/>
      <c r="CA4" s="16"/>
      <c r="CB4" s="16"/>
      <c r="CC4" s="16">
        <v>145</v>
      </c>
      <c r="CD4" s="16">
        <v>6.9</v>
      </c>
      <c r="CE4" s="16">
        <v>76</v>
      </c>
      <c r="CF4" s="16">
        <v>45</v>
      </c>
      <c r="CG4" s="16">
        <v>1</v>
      </c>
      <c r="CH4" s="16">
        <v>10</v>
      </c>
      <c r="CI4" s="16">
        <v>22</v>
      </c>
      <c r="CJ4" s="16">
        <v>15</v>
      </c>
      <c r="CK4" s="16"/>
      <c r="CL4" s="16"/>
      <c r="CM4" s="16"/>
      <c r="CN4" s="16"/>
      <c r="CO4" s="16"/>
      <c r="CP4" s="16">
        <v>190</v>
      </c>
      <c r="CQ4" s="16">
        <v>9.5</v>
      </c>
      <c r="CR4" s="16">
        <v>91</v>
      </c>
      <c r="CS4" s="16">
        <v>30</v>
      </c>
      <c r="CT4" s="16">
        <v>1</v>
      </c>
      <c r="CU4" s="16">
        <v>8</v>
      </c>
      <c r="CV4" s="16">
        <v>24</v>
      </c>
      <c r="CW4" s="16">
        <v>24</v>
      </c>
      <c r="CX4" s="11"/>
      <c r="CY4" s="11"/>
      <c r="CZ4" s="11"/>
      <c r="DA4" s="11"/>
      <c r="DB4" s="11"/>
      <c r="DC4" s="16"/>
      <c r="DD4" s="16"/>
      <c r="DE4" s="16"/>
      <c r="DF4" s="16"/>
      <c r="DG4" s="16"/>
      <c r="DH4" s="16"/>
      <c r="DI4" s="16"/>
      <c r="DJ4" s="16"/>
      <c r="DK4" s="16"/>
      <c r="DL4" s="16"/>
      <c r="DM4" s="11"/>
      <c r="DN4" s="11"/>
      <c r="DO4" s="11"/>
      <c r="DP4" s="16"/>
      <c r="DQ4" s="16"/>
      <c r="DR4" s="16"/>
      <c r="DS4" s="16"/>
      <c r="DT4" s="16"/>
      <c r="DU4" s="16"/>
      <c r="DV4" s="16"/>
      <c r="DW4" s="16"/>
      <c r="DX4" s="16"/>
      <c r="DY4" s="16"/>
      <c r="DZ4" s="16"/>
      <c r="EA4" s="16"/>
      <c r="EB4" s="16"/>
      <c r="EC4" s="16"/>
      <c r="ED4" s="10"/>
      <c r="EE4" s="16"/>
      <c r="EF4" s="10"/>
      <c r="EG4" s="10"/>
      <c r="EH4" s="10"/>
      <c r="EI4" s="10"/>
      <c r="EJ4" s="10"/>
      <c r="EK4" s="10"/>
      <c r="EL4" s="10"/>
      <c r="EM4" s="10"/>
      <c r="EN4" s="10"/>
      <c r="EO4" s="10"/>
      <c r="EP4" s="10"/>
      <c r="EQ4" s="10"/>
      <c r="ER4" s="10"/>
      <c r="ES4" s="10"/>
      <c r="ET4" s="10"/>
      <c r="EU4" s="10"/>
      <c r="EV4" s="10"/>
      <c r="EW4" s="10"/>
      <c r="EX4" s="10"/>
      <c r="EY4" s="10"/>
      <c r="EZ4" s="10"/>
      <c r="FA4" s="10"/>
      <c r="FB4" s="10"/>
      <c r="FC4" s="56">
        <v>3000</v>
      </c>
      <c r="FD4" s="56">
        <v>12.5</v>
      </c>
      <c r="FE4" s="56">
        <v>1575</v>
      </c>
      <c r="FF4" s="56">
        <v>135</v>
      </c>
      <c r="FG4" s="56">
        <v>15</v>
      </c>
      <c r="FH4" s="56">
        <v>120</v>
      </c>
      <c r="FI4" s="56"/>
      <c r="FJ4" s="56"/>
      <c r="FK4" s="56"/>
      <c r="FL4" s="56"/>
      <c r="FM4" s="56"/>
      <c r="FN4" s="56"/>
      <c r="FO4" s="56"/>
    </row>
    <row r="5" spans="1:171" x14ac:dyDescent="0.25">
      <c r="A5" s="29">
        <v>4</v>
      </c>
      <c r="B5" s="27" t="s">
        <v>5</v>
      </c>
      <c r="C5" s="10">
        <v>41525</v>
      </c>
      <c r="D5" s="10">
        <v>1777</v>
      </c>
      <c r="E5" s="10">
        <v>130</v>
      </c>
      <c r="F5" s="10">
        <v>123</v>
      </c>
      <c r="G5" s="16"/>
      <c r="H5" s="16"/>
      <c r="I5" s="16"/>
      <c r="J5" s="16"/>
      <c r="K5" s="16"/>
      <c r="L5" s="10"/>
      <c r="M5" s="10"/>
      <c r="N5" s="10"/>
      <c r="O5" s="10"/>
      <c r="P5" s="10">
        <v>41611</v>
      </c>
      <c r="Q5" s="10">
        <v>1939</v>
      </c>
      <c r="R5" s="10">
        <v>215</v>
      </c>
      <c r="S5" s="10">
        <v>126</v>
      </c>
      <c r="T5" s="16"/>
      <c r="U5" s="10"/>
      <c r="V5" s="10"/>
      <c r="W5" s="10"/>
      <c r="X5" s="10"/>
      <c r="Y5" s="10"/>
      <c r="Z5" s="10"/>
      <c r="AA5" s="10"/>
      <c r="AB5" s="10"/>
      <c r="AC5" s="10">
        <v>41672</v>
      </c>
      <c r="AD5" s="10">
        <v>2337</v>
      </c>
      <c r="AE5" s="10">
        <v>190</v>
      </c>
      <c r="AF5" s="10">
        <v>130</v>
      </c>
      <c r="AG5" s="10"/>
      <c r="AH5" s="10"/>
      <c r="AI5" s="10"/>
      <c r="AJ5" s="10"/>
      <c r="AK5" s="10"/>
      <c r="AL5" s="10"/>
      <c r="AM5" s="10"/>
      <c r="AN5" s="10"/>
      <c r="AO5" s="10"/>
      <c r="AP5" s="10">
        <v>41856</v>
      </c>
      <c r="AQ5" s="10">
        <v>2615</v>
      </c>
      <c r="AR5" s="10">
        <v>398</v>
      </c>
      <c r="AS5" s="10">
        <v>214</v>
      </c>
      <c r="AT5" s="10"/>
      <c r="AU5" s="10"/>
      <c r="AV5" s="10"/>
      <c r="AW5" s="10">
        <v>147</v>
      </c>
      <c r="AX5" s="10"/>
      <c r="AY5" s="10"/>
      <c r="AZ5" s="10"/>
      <c r="BA5" s="10"/>
      <c r="BB5" s="10"/>
      <c r="BC5" s="10">
        <v>41945</v>
      </c>
      <c r="BD5" s="10">
        <v>2976</v>
      </c>
      <c r="BE5" s="10">
        <v>257</v>
      </c>
      <c r="BF5" s="10">
        <v>176</v>
      </c>
      <c r="BG5" s="10">
        <v>40.85</v>
      </c>
      <c r="BH5" s="10">
        <v>54.12</v>
      </c>
      <c r="BI5" s="10">
        <v>6</v>
      </c>
      <c r="BJ5" s="10">
        <v>0</v>
      </c>
      <c r="BK5" s="10"/>
      <c r="BL5" s="10"/>
      <c r="BM5" s="10"/>
      <c r="BN5" s="10"/>
      <c r="BO5" s="10"/>
      <c r="BP5" s="10">
        <v>42094</v>
      </c>
      <c r="BQ5" s="10">
        <v>4753</v>
      </c>
      <c r="BR5" s="10">
        <v>320</v>
      </c>
      <c r="BS5" s="10">
        <v>171</v>
      </c>
      <c r="BT5" s="10"/>
      <c r="BU5" s="10"/>
      <c r="BV5" s="10"/>
      <c r="BW5" s="10"/>
      <c r="BX5" s="10"/>
      <c r="BY5" s="10"/>
      <c r="BZ5" s="10"/>
      <c r="CA5" s="10"/>
      <c r="CB5" s="10"/>
      <c r="CC5" s="10">
        <v>39315</v>
      </c>
      <c r="CD5" s="10">
        <v>8044</v>
      </c>
      <c r="CE5" s="10">
        <v>192</v>
      </c>
      <c r="CF5" s="10">
        <v>3036</v>
      </c>
      <c r="CG5" s="10"/>
      <c r="CH5" s="10"/>
      <c r="CI5" s="10"/>
      <c r="CJ5" s="10"/>
      <c r="CK5" s="10"/>
      <c r="CL5" s="10"/>
      <c r="CM5" s="10"/>
      <c r="CN5" s="10"/>
      <c r="CO5" s="10"/>
      <c r="CP5" s="10">
        <v>39451</v>
      </c>
      <c r="CQ5" s="10">
        <v>4052</v>
      </c>
      <c r="CR5" s="10">
        <v>172</v>
      </c>
      <c r="CS5" s="10">
        <v>132</v>
      </c>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56">
        <v>40500</v>
      </c>
      <c r="FD5" s="56">
        <v>35000</v>
      </c>
      <c r="FE5" s="56">
        <v>2500</v>
      </c>
      <c r="FF5" s="56">
        <v>2000</v>
      </c>
      <c r="FG5" s="56">
        <v>50</v>
      </c>
      <c r="FH5" s="56">
        <v>60</v>
      </c>
      <c r="FI5" s="56">
        <v>6</v>
      </c>
      <c r="FJ5" s="56">
        <v>350</v>
      </c>
      <c r="FK5" s="56"/>
      <c r="FL5" s="56"/>
      <c r="FM5" s="56"/>
      <c r="FN5" s="56"/>
      <c r="FO5" s="56"/>
    </row>
    <row r="6" spans="1:171" x14ac:dyDescent="0.25">
      <c r="A6" s="29">
        <v>5</v>
      </c>
      <c r="B6" s="27" t="s">
        <v>428</v>
      </c>
      <c r="C6" s="10">
        <v>1872</v>
      </c>
      <c r="D6" s="10">
        <v>3.13</v>
      </c>
      <c r="E6" s="10">
        <v>311</v>
      </c>
      <c r="F6" s="10">
        <v>0.52</v>
      </c>
      <c r="G6" s="16">
        <v>1.35</v>
      </c>
      <c r="H6" s="16"/>
      <c r="I6" s="16"/>
      <c r="J6" s="16"/>
      <c r="K6" s="16"/>
      <c r="L6" s="10"/>
      <c r="M6" s="10"/>
      <c r="N6" s="10"/>
      <c r="O6" s="10"/>
      <c r="P6" s="10">
        <v>2169</v>
      </c>
      <c r="Q6" s="10">
        <v>3.31</v>
      </c>
      <c r="R6" s="10">
        <v>363</v>
      </c>
      <c r="S6" s="10">
        <v>0.55000000000000004</v>
      </c>
      <c r="T6" s="16">
        <v>0.2</v>
      </c>
      <c r="U6" s="10"/>
      <c r="V6" s="10"/>
      <c r="W6" s="10"/>
      <c r="X6" s="10"/>
      <c r="Y6" s="10"/>
      <c r="Z6" s="10"/>
      <c r="AA6" s="10"/>
      <c r="AB6" s="10"/>
      <c r="AC6" s="10">
        <v>1445</v>
      </c>
      <c r="AD6" s="10">
        <v>2.81</v>
      </c>
      <c r="AE6" s="10">
        <v>234</v>
      </c>
      <c r="AF6" s="10">
        <v>0.46</v>
      </c>
      <c r="AG6" s="10">
        <v>3.1</v>
      </c>
      <c r="AH6" s="10"/>
      <c r="AI6" s="10"/>
      <c r="AJ6" s="10"/>
      <c r="AK6" s="10"/>
      <c r="AL6" s="10"/>
      <c r="AM6" s="10"/>
      <c r="AN6" s="10"/>
      <c r="AO6" s="10"/>
      <c r="AP6" s="10">
        <v>1764</v>
      </c>
      <c r="AQ6" s="10">
        <v>2.69</v>
      </c>
      <c r="AR6" s="10">
        <v>375</v>
      </c>
      <c r="AS6" s="10">
        <v>0.56999999999999995</v>
      </c>
      <c r="AT6" s="10">
        <v>2</v>
      </c>
      <c r="AU6" s="10"/>
      <c r="AV6" s="10"/>
      <c r="AW6" s="10"/>
      <c r="AX6" s="10"/>
      <c r="AY6" s="10"/>
      <c r="AZ6" s="10"/>
      <c r="BA6" s="10"/>
      <c r="BB6" s="10"/>
      <c r="BC6" s="10">
        <v>1503</v>
      </c>
      <c r="BD6" s="10">
        <v>2.8</v>
      </c>
      <c r="BE6" s="10">
        <v>306</v>
      </c>
      <c r="BF6" s="10">
        <v>0.56999999999999995</v>
      </c>
      <c r="BG6" s="10">
        <v>0.15</v>
      </c>
      <c r="BH6" s="10"/>
      <c r="BI6" s="10"/>
      <c r="BJ6" s="10"/>
      <c r="BK6" s="10"/>
      <c r="BL6" s="10"/>
      <c r="BM6" s="10"/>
      <c r="BN6" s="10"/>
      <c r="BO6" s="10"/>
      <c r="BP6" s="10">
        <v>1315</v>
      </c>
      <c r="BQ6" s="10">
        <v>2.66</v>
      </c>
      <c r="BR6" s="10">
        <v>287</v>
      </c>
      <c r="BS6" s="10">
        <v>0.57999999999999996</v>
      </c>
      <c r="BT6" s="10">
        <v>0.3</v>
      </c>
      <c r="BU6" s="10"/>
      <c r="BV6" s="10"/>
      <c r="BW6" s="10"/>
      <c r="BX6" s="10"/>
      <c r="BY6" s="10"/>
      <c r="BZ6" s="10"/>
      <c r="CA6" s="10"/>
      <c r="CB6" s="10"/>
      <c r="CC6" s="10">
        <v>1760</v>
      </c>
      <c r="CD6" s="10">
        <v>2.94</v>
      </c>
      <c r="CE6" s="10">
        <v>365</v>
      </c>
      <c r="CF6" s="10">
        <v>0.61</v>
      </c>
      <c r="CG6" s="10">
        <v>1.1000000000000001</v>
      </c>
      <c r="CH6" s="10"/>
      <c r="CI6" s="10"/>
      <c r="CJ6" s="10"/>
      <c r="CK6" s="10"/>
      <c r="CL6" s="10"/>
      <c r="CM6" s="10"/>
      <c r="CN6" s="10"/>
      <c r="CO6" s="10"/>
      <c r="CP6" s="10">
        <v>1652</v>
      </c>
      <c r="CQ6" s="10">
        <v>3.17</v>
      </c>
      <c r="CR6" s="10">
        <v>327</v>
      </c>
      <c r="CS6" s="10">
        <v>0.63</v>
      </c>
      <c r="CT6" s="10">
        <v>0.3</v>
      </c>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56">
        <v>20000</v>
      </c>
      <c r="FD6" s="56">
        <v>4</v>
      </c>
      <c r="FE6" s="56">
        <v>3900</v>
      </c>
      <c r="FF6" s="56">
        <v>0.7</v>
      </c>
      <c r="FG6" s="56">
        <v>25</v>
      </c>
      <c r="FH6" s="56"/>
      <c r="FI6" s="56"/>
      <c r="FJ6" s="56"/>
      <c r="FK6" s="56"/>
      <c r="FL6" s="56"/>
      <c r="FM6" s="56"/>
      <c r="FN6" s="56"/>
      <c r="FO6" s="56"/>
    </row>
    <row r="7" spans="1:171" x14ac:dyDescent="0.25">
      <c r="A7" s="29">
        <v>6</v>
      </c>
      <c r="B7" s="27" t="s">
        <v>485</v>
      </c>
      <c r="C7" s="10">
        <v>1</v>
      </c>
      <c r="D7" s="10">
        <v>14</v>
      </c>
      <c r="E7" s="10">
        <v>3</v>
      </c>
      <c r="F7" s="10">
        <v>1</v>
      </c>
      <c r="G7" s="16">
        <v>6</v>
      </c>
      <c r="H7" s="16">
        <v>1</v>
      </c>
      <c r="I7" s="16">
        <v>0</v>
      </c>
      <c r="J7" s="16">
        <v>0</v>
      </c>
      <c r="K7" s="16">
        <v>0</v>
      </c>
      <c r="L7" s="10"/>
      <c r="M7" s="10"/>
      <c r="N7" s="10"/>
      <c r="O7" s="10"/>
      <c r="P7" s="10">
        <v>3</v>
      </c>
      <c r="Q7" s="10">
        <v>16</v>
      </c>
      <c r="R7" s="10">
        <v>4</v>
      </c>
      <c r="S7" s="10">
        <v>2</v>
      </c>
      <c r="T7" s="16">
        <v>7</v>
      </c>
      <c r="U7" s="10">
        <v>2</v>
      </c>
      <c r="V7" s="10">
        <v>0</v>
      </c>
      <c r="W7" s="10">
        <v>0</v>
      </c>
      <c r="X7" s="10">
        <v>0</v>
      </c>
      <c r="Y7" s="10"/>
      <c r="Z7" s="10"/>
      <c r="AA7" s="10"/>
      <c r="AB7" s="10"/>
      <c r="AC7" s="10">
        <v>2</v>
      </c>
      <c r="AD7" s="10">
        <v>16</v>
      </c>
      <c r="AE7" s="10">
        <v>5</v>
      </c>
      <c r="AF7" s="10">
        <v>2</v>
      </c>
      <c r="AG7" s="10">
        <v>6</v>
      </c>
      <c r="AH7" s="10">
        <v>2</v>
      </c>
      <c r="AI7" s="10">
        <v>1</v>
      </c>
      <c r="AJ7" s="10">
        <v>6</v>
      </c>
      <c r="AK7" s="10">
        <v>1.3</v>
      </c>
      <c r="AL7" s="10"/>
      <c r="AM7" s="10"/>
      <c r="AN7" s="10"/>
      <c r="AO7" s="10"/>
      <c r="AP7" s="10">
        <v>1</v>
      </c>
      <c r="AQ7" s="10">
        <v>15</v>
      </c>
      <c r="AR7" s="10">
        <v>8</v>
      </c>
      <c r="AS7" s="10">
        <v>1</v>
      </c>
      <c r="AT7" s="10">
        <v>4</v>
      </c>
      <c r="AU7" s="10">
        <v>4</v>
      </c>
      <c r="AV7" s="10">
        <v>1</v>
      </c>
      <c r="AW7" s="10">
        <v>44</v>
      </c>
      <c r="AX7" s="10">
        <v>4.2</v>
      </c>
      <c r="AY7" s="10"/>
      <c r="AZ7" s="10"/>
      <c r="BA7" s="10"/>
      <c r="BB7" s="10"/>
      <c r="BC7" s="10">
        <v>2</v>
      </c>
      <c r="BD7" s="10">
        <v>17</v>
      </c>
      <c r="BE7" s="10">
        <v>4</v>
      </c>
      <c r="BF7" s="10">
        <v>2</v>
      </c>
      <c r="BG7" s="10">
        <v>6</v>
      </c>
      <c r="BH7" s="10">
        <v>0</v>
      </c>
      <c r="BI7" s="10">
        <v>0</v>
      </c>
      <c r="BJ7" s="10">
        <v>0</v>
      </c>
      <c r="BK7" s="10"/>
      <c r="BL7" s="10"/>
      <c r="BM7" s="10"/>
      <c r="BN7" s="10"/>
      <c r="BO7" s="10"/>
      <c r="BP7" s="10">
        <v>1</v>
      </c>
      <c r="BQ7" s="10">
        <v>10</v>
      </c>
      <c r="BR7" s="10">
        <v>1</v>
      </c>
      <c r="BS7" s="10">
        <v>2</v>
      </c>
      <c r="BT7" s="10">
        <v>6</v>
      </c>
      <c r="BU7" s="10">
        <v>0</v>
      </c>
      <c r="BV7" s="10">
        <v>1</v>
      </c>
      <c r="BW7" s="10">
        <v>12</v>
      </c>
      <c r="BX7" s="10">
        <v>0.65</v>
      </c>
      <c r="BY7" s="10"/>
      <c r="BZ7" s="10"/>
      <c r="CA7" s="10"/>
      <c r="CB7" s="10"/>
      <c r="CC7" s="10">
        <v>1</v>
      </c>
      <c r="CD7" s="10">
        <v>9</v>
      </c>
      <c r="CE7" s="10">
        <v>2</v>
      </c>
      <c r="CF7" s="10">
        <v>2</v>
      </c>
      <c r="CG7" s="10">
        <v>4</v>
      </c>
      <c r="CH7" s="10">
        <v>2</v>
      </c>
      <c r="CI7" s="10">
        <v>0</v>
      </c>
      <c r="CJ7" s="10">
        <v>0</v>
      </c>
      <c r="CK7" s="10">
        <v>0</v>
      </c>
      <c r="CL7" s="10"/>
      <c r="CM7" s="10"/>
      <c r="CN7" s="10"/>
      <c r="CO7" s="10"/>
      <c r="CP7" s="10">
        <v>1</v>
      </c>
      <c r="CQ7" s="10">
        <v>10</v>
      </c>
      <c r="CR7" s="10">
        <v>8</v>
      </c>
      <c r="CS7" s="10">
        <v>0</v>
      </c>
      <c r="CT7" s="10">
        <v>5</v>
      </c>
      <c r="CU7" s="10">
        <v>2</v>
      </c>
      <c r="CV7" s="10">
        <v>0</v>
      </c>
      <c r="CW7" s="10">
        <v>0</v>
      </c>
      <c r="CX7" s="10">
        <v>0</v>
      </c>
      <c r="CY7" s="10"/>
      <c r="CZ7" s="10"/>
      <c r="DA7" s="10"/>
      <c r="DB7" s="10"/>
      <c r="DC7" s="10"/>
      <c r="DD7" s="10"/>
      <c r="DE7" s="10"/>
      <c r="DF7" s="10"/>
      <c r="DG7" s="10"/>
      <c r="DH7" s="10"/>
      <c r="DI7" s="10">
        <v>1</v>
      </c>
      <c r="DJ7" s="10">
        <v>18</v>
      </c>
      <c r="DK7" s="10">
        <v>1</v>
      </c>
      <c r="DL7" s="10"/>
      <c r="DM7" s="10"/>
      <c r="DN7" s="10"/>
      <c r="DO7" s="10"/>
      <c r="DP7" s="10"/>
      <c r="DQ7" s="33"/>
      <c r="DR7" s="33"/>
      <c r="DS7" s="10"/>
      <c r="DT7" s="10"/>
      <c r="DU7" s="10"/>
      <c r="DV7" s="10"/>
      <c r="DW7" s="10"/>
      <c r="DX7" s="10"/>
      <c r="DY7" s="10"/>
      <c r="DZ7" s="10"/>
      <c r="EA7" s="10"/>
      <c r="EB7" s="10"/>
      <c r="EC7" s="33"/>
      <c r="ED7" s="33"/>
      <c r="EE7" s="33"/>
      <c r="EF7" s="33"/>
      <c r="EG7" s="33"/>
      <c r="EH7" s="33"/>
      <c r="EI7" s="33"/>
      <c r="EJ7" s="33"/>
      <c r="EK7" s="33"/>
      <c r="EL7" s="33"/>
      <c r="EM7" s="33"/>
      <c r="EN7" s="10"/>
      <c r="EO7" s="10"/>
      <c r="EP7" s="10"/>
      <c r="EQ7" s="10"/>
      <c r="ER7" s="10"/>
      <c r="ES7" s="10"/>
      <c r="ET7" s="10"/>
      <c r="EU7" s="10"/>
      <c r="EV7" s="10"/>
      <c r="EW7" s="10"/>
      <c r="EX7" s="10"/>
      <c r="EY7" s="10"/>
      <c r="EZ7" s="10"/>
      <c r="FA7" s="10"/>
      <c r="FB7" s="10"/>
      <c r="FC7" s="56">
        <v>25</v>
      </c>
      <c r="FD7" s="56">
        <v>20</v>
      </c>
      <c r="FE7" s="56">
        <v>40</v>
      </c>
      <c r="FF7" s="56">
        <v>25</v>
      </c>
      <c r="FG7" s="56">
        <v>50</v>
      </c>
      <c r="FH7" s="56">
        <v>60</v>
      </c>
      <c r="FI7" s="56">
        <v>10</v>
      </c>
      <c r="FJ7" s="56">
        <v>200</v>
      </c>
      <c r="FK7" s="56">
        <v>10</v>
      </c>
      <c r="FL7" s="56"/>
      <c r="FM7" s="56"/>
      <c r="FN7" s="56"/>
      <c r="FO7" s="56"/>
    </row>
    <row r="8" spans="1:171" x14ac:dyDescent="0.25">
      <c r="A8" s="29">
        <v>7</v>
      </c>
      <c r="B8" s="27" t="s">
        <v>234</v>
      </c>
      <c r="C8" s="10">
        <v>71</v>
      </c>
      <c r="D8" s="10">
        <v>4</v>
      </c>
      <c r="E8" s="10">
        <v>3</v>
      </c>
      <c r="F8" s="10">
        <v>2</v>
      </c>
      <c r="G8" s="16">
        <v>1</v>
      </c>
      <c r="H8" s="16">
        <v>0</v>
      </c>
      <c r="I8" s="16">
        <v>11</v>
      </c>
      <c r="J8" s="16"/>
      <c r="K8" s="16"/>
      <c r="L8" s="10"/>
      <c r="M8" s="10"/>
      <c r="N8" s="10"/>
      <c r="O8" s="10"/>
      <c r="P8" s="10">
        <v>88</v>
      </c>
      <c r="Q8" s="10">
        <v>8</v>
      </c>
      <c r="R8" s="10">
        <v>5</v>
      </c>
      <c r="S8" s="10">
        <v>1</v>
      </c>
      <c r="T8" s="16">
        <v>3</v>
      </c>
      <c r="U8" s="10">
        <v>0</v>
      </c>
      <c r="V8" s="10">
        <v>0</v>
      </c>
      <c r="W8" s="10"/>
      <c r="X8" s="10"/>
      <c r="Y8" s="10"/>
      <c r="Z8" s="10"/>
      <c r="AA8" s="10"/>
      <c r="AB8" s="10"/>
      <c r="AC8" s="10">
        <v>51</v>
      </c>
      <c r="AD8" s="10">
        <v>4</v>
      </c>
      <c r="AE8" s="10">
        <v>3</v>
      </c>
      <c r="AF8" s="10">
        <v>0</v>
      </c>
      <c r="AG8" s="10">
        <v>4</v>
      </c>
      <c r="AH8" s="10">
        <v>0</v>
      </c>
      <c r="AI8" s="10">
        <v>0</v>
      </c>
      <c r="AJ8" s="10">
        <v>0</v>
      </c>
      <c r="AK8" s="10"/>
      <c r="AL8" s="10"/>
      <c r="AM8" s="10"/>
      <c r="AN8" s="10"/>
      <c r="AO8" s="10"/>
      <c r="AP8" s="10">
        <v>67</v>
      </c>
      <c r="AQ8" s="10">
        <v>10</v>
      </c>
      <c r="AR8" s="10">
        <v>6</v>
      </c>
      <c r="AS8" s="10">
        <v>3</v>
      </c>
      <c r="AT8" s="10">
        <v>1</v>
      </c>
      <c r="AU8" s="10">
        <v>0</v>
      </c>
      <c r="AV8" s="10">
        <v>0</v>
      </c>
      <c r="AW8" s="10"/>
      <c r="AX8" s="10"/>
      <c r="AY8" s="10"/>
      <c r="AZ8" s="10"/>
      <c r="BA8" s="10"/>
      <c r="BB8" s="10"/>
      <c r="BC8" s="10">
        <v>26</v>
      </c>
      <c r="BD8" s="10">
        <v>10</v>
      </c>
      <c r="BE8" s="10">
        <v>7</v>
      </c>
      <c r="BF8" s="10">
        <v>0</v>
      </c>
      <c r="BG8" s="10">
        <v>1</v>
      </c>
      <c r="BH8" s="10">
        <v>0</v>
      </c>
      <c r="BI8" s="10">
        <v>0</v>
      </c>
      <c r="BJ8" s="10"/>
      <c r="BK8" s="10"/>
      <c r="BL8" s="10"/>
      <c r="BM8" s="10"/>
      <c r="BN8" s="10"/>
      <c r="BO8" s="10"/>
      <c r="BP8" s="10">
        <v>26</v>
      </c>
      <c r="BQ8" s="10">
        <v>5</v>
      </c>
      <c r="BR8" s="10">
        <v>6</v>
      </c>
      <c r="BS8" s="10">
        <v>0</v>
      </c>
      <c r="BT8" s="10">
        <v>1</v>
      </c>
      <c r="BU8" s="10">
        <v>0</v>
      </c>
      <c r="BV8" s="10">
        <v>0</v>
      </c>
      <c r="BW8" s="10"/>
      <c r="BX8" s="10"/>
      <c r="BY8" s="10"/>
      <c r="BZ8" s="10"/>
      <c r="CA8" s="10"/>
      <c r="CB8" s="10"/>
      <c r="CC8" s="10">
        <v>35</v>
      </c>
      <c r="CD8" s="10">
        <v>7</v>
      </c>
      <c r="CE8" s="10">
        <v>8</v>
      </c>
      <c r="CF8" s="10">
        <v>1</v>
      </c>
      <c r="CG8" s="10">
        <v>1</v>
      </c>
      <c r="CH8" s="10">
        <v>0</v>
      </c>
      <c r="CI8" s="10">
        <v>0</v>
      </c>
      <c r="CJ8" s="10"/>
      <c r="CK8" s="10"/>
      <c r="CL8" s="10"/>
      <c r="CM8" s="10"/>
      <c r="CN8" s="10"/>
      <c r="CO8" s="10"/>
      <c r="CP8" s="10">
        <v>20</v>
      </c>
      <c r="CQ8" s="10">
        <v>8</v>
      </c>
      <c r="CR8" s="10">
        <v>7</v>
      </c>
      <c r="CS8" s="10">
        <v>4</v>
      </c>
      <c r="CT8" s="10">
        <v>1</v>
      </c>
      <c r="CU8" s="10">
        <v>0</v>
      </c>
      <c r="CV8" s="10">
        <v>0</v>
      </c>
      <c r="CW8" s="10"/>
      <c r="CX8" s="10"/>
      <c r="CY8" s="10"/>
      <c r="CZ8" s="10"/>
      <c r="DA8" s="10"/>
      <c r="DB8" s="10"/>
      <c r="DC8" s="10"/>
      <c r="DD8" s="10"/>
      <c r="DE8" s="10"/>
      <c r="DF8" s="10"/>
      <c r="DG8" s="10"/>
      <c r="DH8" s="10"/>
      <c r="DI8" s="10"/>
      <c r="DJ8" s="10"/>
      <c r="DK8" s="10"/>
      <c r="DL8" s="10"/>
      <c r="DM8" s="10"/>
      <c r="DN8" s="10"/>
      <c r="DO8" s="10"/>
      <c r="DP8" s="10"/>
      <c r="DQ8" s="33"/>
      <c r="DR8" s="33"/>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56">
        <v>450</v>
      </c>
      <c r="FD8" s="56">
        <v>85</v>
      </c>
      <c r="FE8" s="56">
        <v>80</v>
      </c>
      <c r="FF8" s="56">
        <v>20</v>
      </c>
      <c r="FG8" s="56">
        <v>15</v>
      </c>
      <c r="FH8" s="56">
        <v>3</v>
      </c>
      <c r="FI8" s="56">
        <v>75</v>
      </c>
      <c r="FJ8" s="56"/>
      <c r="FK8" s="56"/>
      <c r="FL8" s="56"/>
      <c r="FM8" s="56"/>
      <c r="FN8" s="56"/>
      <c r="FO8" s="56"/>
    </row>
    <row r="9" spans="1:171" x14ac:dyDescent="0.25">
      <c r="A9" s="29">
        <v>8</v>
      </c>
      <c r="B9" s="27" t="s">
        <v>25</v>
      </c>
      <c r="C9" s="10">
        <v>909</v>
      </c>
      <c r="D9" s="10">
        <v>58.8</v>
      </c>
      <c r="E9" s="10">
        <v>1.84</v>
      </c>
      <c r="F9" s="10">
        <v>10.050000000000001</v>
      </c>
      <c r="G9" s="16">
        <v>368</v>
      </c>
      <c r="H9" s="16">
        <v>30</v>
      </c>
      <c r="I9" s="16"/>
      <c r="J9" s="16">
        <v>37</v>
      </c>
      <c r="K9" s="16">
        <v>33</v>
      </c>
      <c r="L9" s="10">
        <v>24</v>
      </c>
      <c r="M9" s="10">
        <v>30</v>
      </c>
      <c r="N9" s="10">
        <v>25</v>
      </c>
      <c r="O9" s="10">
        <v>30</v>
      </c>
      <c r="P9" s="10">
        <v>895</v>
      </c>
      <c r="Q9" s="10">
        <v>63.4</v>
      </c>
      <c r="R9" s="10">
        <v>1.8</v>
      </c>
      <c r="S9" s="10">
        <v>8.27</v>
      </c>
      <c r="T9" s="16">
        <v>416</v>
      </c>
      <c r="U9" s="10">
        <v>30</v>
      </c>
      <c r="V9" s="10"/>
      <c r="W9" s="10">
        <v>34</v>
      </c>
      <c r="X9" s="10">
        <v>31</v>
      </c>
      <c r="Y9" s="10">
        <v>26</v>
      </c>
      <c r="Z9" s="10">
        <v>31</v>
      </c>
      <c r="AA9" s="10">
        <v>27</v>
      </c>
      <c r="AB9" s="10">
        <v>30</v>
      </c>
      <c r="AC9" s="10">
        <v>879</v>
      </c>
      <c r="AD9" s="10">
        <v>63.2</v>
      </c>
      <c r="AE9" s="10">
        <v>1.79</v>
      </c>
      <c r="AF9" s="10">
        <v>7.42</v>
      </c>
      <c r="AG9" s="10">
        <v>362</v>
      </c>
      <c r="AH9" s="10">
        <v>28</v>
      </c>
      <c r="AI9" s="10"/>
      <c r="AJ9" s="10">
        <v>31</v>
      </c>
      <c r="AK9" s="10">
        <v>31</v>
      </c>
      <c r="AL9" s="10">
        <v>27</v>
      </c>
      <c r="AM9" s="10">
        <v>26</v>
      </c>
      <c r="AN9" s="10">
        <v>20</v>
      </c>
      <c r="AO9" s="10">
        <v>34</v>
      </c>
      <c r="AP9" s="10">
        <v>938</v>
      </c>
      <c r="AQ9" s="10">
        <v>58.8</v>
      </c>
      <c r="AR9" s="10">
        <v>1.9</v>
      </c>
      <c r="AS9" s="10">
        <v>8.26</v>
      </c>
      <c r="AT9" s="10">
        <v>385</v>
      </c>
      <c r="AU9" s="10">
        <v>30</v>
      </c>
      <c r="AV9" s="10"/>
      <c r="AW9" s="10">
        <v>37</v>
      </c>
      <c r="AX9" s="10">
        <v>36</v>
      </c>
      <c r="AY9" s="10">
        <v>27</v>
      </c>
      <c r="AZ9" s="10">
        <v>27</v>
      </c>
      <c r="BA9" s="10">
        <v>22</v>
      </c>
      <c r="BB9" s="10">
        <v>29</v>
      </c>
      <c r="BC9" s="10">
        <v>810</v>
      </c>
      <c r="BD9" s="10">
        <v>57.7</v>
      </c>
      <c r="BE9" s="10">
        <v>1.81</v>
      </c>
      <c r="BF9" s="10">
        <v>8.49</v>
      </c>
      <c r="BG9" s="10">
        <v>335</v>
      </c>
      <c r="BH9" s="10">
        <v>27</v>
      </c>
      <c r="BI9" s="10"/>
      <c r="BJ9" s="10">
        <v>32</v>
      </c>
      <c r="BK9" s="10">
        <v>30</v>
      </c>
      <c r="BL9" s="10">
        <v>21</v>
      </c>
      <c r="BM9" s="10">
        <v>28</v>
      </c>
      <c r="BN9" s="10">
        <v>24</v>
      </c>
      <c r="BO9" s="10">
        <v>26</v>
      </c>
      <c r="BP9" s="10">
        <v>881</v>
      </c>
      <c r="BQ9" s="10">
        <v>60.8</v>
      </c>
      <c r="BR9" s="10">
        <v>1.58</v>
      </c>
      <c r="BS9" s="10">
        <v>8.5399999999999991</v>
      </c>
      <c r="BT9" s="10">
        <v>399</v>
      </c>
      <c r="BU9" s="10">
        <v>29</v>
      </c>
      <c r="BV9" s="10"/>
      <c r="BW9" s="10">
        <v>32</v>
      </c>
      <c r="BX9" s="10">
        <v>26</v>
      </c>
      <c r="BY9" s="10">
        <v>27</v>
      </c>
      <c r="BZ9" s="10">
        <v>29</v>
      </c>
      <c r="CA9" s="10">
        <v>28</v>
      </c>
      <c r="CB9" s="10">
        <v>29</v>
      </c>
      <c r="CC9" s="10">
        <v>810</v>
      </c>
      <c r="CD9" s="10">
        <v>60.8</v>
      </c>
      <c r="CE9" s="10">
        <v>1.7</v>
      </c>
      <c r="CF9" s="10">
        <v>8.24</v>
      </c>
      <c r="CG9" s="10">
        <v>367</v>
      </c>
      <c r="CH9" s="10">
        <v>27</v>
      </c>
      <c r="CI9" s="10"/>
      <c r="CJ9" s="10">
        <v>31</v>
      </c>
      <c r="CK9" s="10">
        <v>27</v>
      </c>
      <c r="CL9" s="10">
        <v>21</v>
      </c>
      <c r="CM9" s="10">
        <v>27</v>
      </c>
      <c r="CN9" s="10">
        <v>24</v>
      </c>
      <c r="CO9" s="10">
        <v>32</v>
      </c>
      <c r="CP9" s="10">
        <v>898</v>
      </c>
      <c r="CQ9" s="10">
        <v>62.3</v>
      </c>
      <c r="CR9" s="10">
        <v>1.7</v>
      </c>
      <c r="CS9" s="10">
        <v>9.98</v>
      </c>
      <c r="CT9" s="10">
        <v>463</v>
      </c>
      <c r="CU9" s="10">
        <v>34</v>
      </c>
      <c r="CV9" s="10"/>
      <c r="CW9" s="10">
        <v>41</v>
      </c>
      <c r="CX9" s="10">
        <v>33</v>
      </c>
      <c r="CY9" s="10">
        <v>29</v>
      </c>
      <c r="CZ9" s="10">
        <v>35</v>
      </c>
      <c r="DA9" s="10">
        <v>31</v>
      </c>
      <c r="DB9" s="10">
        <v>38</v>
      </c>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56">
        <v>9100</v>
      </c>
      <c r="FD9" s="56">
        <v>58</v>
      </c>
      <c r="FE9" s="56">
        <v>1.9</v>
      </c>
      <c r="FF9" s="56">
        <v>8</v>
      </c>
      <c r="FG9" s="56">
        <v>3000</v>
      </c>
      <c r="FH9" s="56">
        <v>25</v>
      </c>
      <c r="FI9" s="56">
        <v>0</v>
      </c>
      <c r="FJ9" s="56">
        <v>25</v>
      </c>
      <c r="FK9" s="56">
        <v>25</v>
      </c>
      <c r="FL9" s="56">
        <v>25</v>
      </c>
      <c r="FM9" s="56">
        <v>25</v>
      </c>
      <c r="FN9" s="56">
        <v>25</v>
      </c>
      <c r="FO9" s="56">
        <v>25</v>
      </c>
    </row>
    <row r="10" spans="1:171" x14ac:dyDescent="0.25">
      <c r="A10" s="29">
        <v>9</v>
      </c>
      <c r="B10" s="27" t="s">
        <v>69</v>
      </c>
      <c r="C10" s="10">
        <v>1</v>
      </c>
      <c r="D10" s="10">
        <v>23</v>
      </c>
      <c r="E10" s="10">
        <v>13</v>
      </c>
      <c r="F10" s="10">
        <v>32</v>
      </c>
      <c r="G10" s="16">
        <v>63</v>
      </c>
      <c r="H10" s="16">
        <v>100</v>
      </c>
      <c r="I10" s="16">
        <v>111</v>
      </c>
      <c r="J10" s="16">
        <v>100</v>
      </c>
      <c r="K10" s="16">
        <v>35</v>
      </c>
      <c r="L10" s="10">
        <v>42</v>
      </c>
      <c r="M10" s="10"/>
      <c r="N10" s="10"/>
      <c r="O10" s="10"/>
      <c r="P10" s="10">
        <v>8</v>
      </c>
      <c r="Q10" s="10">
        <v>63</v>
      </c>
      <c r="R10" s="10">
        <v>24</v>
      </c>
      <c r="S10" s="10">
        <v>37</v>
      </c>
      <c r="T10" s="16">
        <v>59</v>
      </c>
      <c r="U10" s="10">
        <v>80</v>
      </c>
      <c r="V10" s="10">
        <v>134</v>
      </c>
      <c r="W10" s="10">
        <v>100</v>
      </c>
      <c r="X10" s="10">
        <v>26</v>
      </c>
      <c r="Y10" s="10">
        <v>26</v>
      </c>
      <c r="Z10" s="10"/>
      <c r="AA10" s="10"/>
      <c r="AB10" s="10"/>
      <c r="AC10" s="10">
        <v>3</v>
      </c>
      <c r="AD10" s="10">
        <v>42</v>
      </c>
      <c r="AE10" s="10">
        <v>16</v>
      </c>
      <c r="AF10" s="10">
        <v>17</v>
      </c>
      <c r="AG10" s="10">
        <v>36</v>
      </c>
      <c r="AH10" s="10">
        <v>100</v>
      </c>
      <c r="AI10" s="10">
        <v>82</v>
      </c>
      <c r="AJ10" s="10">
        <v>60</v>
      </c>
      <c r="AK10" s="10">
        <v>20</v>
      </c>
      <c r="AL10" s="10">
        <v>19</v>
      </c>
      <c r="AM10" s="10"/>
      <c r="AN10" s="10"/>
      <c r="AO10" s="10"/>
      <c r="AP10" s="10">
        <v>6</v>
      </c>
      <c r="AQ10" s="10">
        <v>58</v>
      </c>
      <c r="AR10" s="10">
        <v>18</v>
      </c>
      <c r="AS10" s="10">
        <v>28</v>
      </c>
      <c r="AT10" s="10">
        <v>79</v>
      </c>
      <c r="AU10" s="10">
        <v>83</v>
      </c>
      <c r="AV10" s="10">
        <v>112</v>
      </c>
      <c r="AW10" s="10">
        <v>83</v>
      </c>
      <c r="AX10" s="10">
        <v>31</v>
      </c>
      <c r="AY10" s="10">
        <v>43</v>
      </c>
      <c r="AZ10" s="10"/>
      <c r="BA10" s="10"/>
      <c r="BB10" s="10"/>
      <c r="BC10" s="10">
        <v>2</v>
      </c>
      <c r="BD10" s="10">
        <v>53</v>
      </c>
      <c r="BE10" s="10">
        <v>11</v>
      </c>
      <c r="BF10" s="10">
        <v>24</v>
      </c>
      <c r="BG10" s="10">
        <v>58</v>
      </c>
      <c r="BH10" s="10">
        <v>100</v>
      </c>
      <c r="BI10" s="10">
        <v>74</v>
      </c>
      <c r="BJ10" s="10">
        <v>100</v>
      </c>
      <c r="BK10" s="10">
        <v>18</v>
      </c>
      <c r="BL10" s="10">
        <v>18</v>
      </c>
      <c r="BM10" s="10"/>
      <c r="BN10" s="10"/>
      <c r="BO10" s="10"/>
      <c r="BP10" s="10">
        <v>3</v>
      </c>
      <c r="BQ10" s="10">
        <v>67</v>
      </c>
      <c r="BR10" s="10">
        <v>7</v>
      </c>
      <c r="BS10" s="10">
        <v>18</v>
      </c>
      <c r="BT10" s="10">
        <v>71</v>
      </c>
      <c r="BU10" s="10">
        <v>100</v>
      </c>
      <c r="BV10" s="10">
        <v>60</v>
      </c>
      <c r="BW10" s="10">
        <v>100</v>
      </c>
      <c r="BX10" s="10">
        <v>2</v>
      </c>
      <c r="BY10" s="10">
        <v>5</v>
      </c>
      <c r="BZ10" s="10"/>
      <c r="CA10" s="10"/>
      <c r="CB10" s="10"/>
      <c r="CC10" s="10">
        <v>19</v>
      </c>
      <c r="CD10" s="10">
        <v>46</v>
      </c>
      <c r="CE10" s="10">
        <v>10</v>
      </c>
      <c r="CF10" s="10">
        <v>16</v>
      </c>
      <c r="CG10" s="10">
        <v>67</v>
      </c>
      <c r="CH10" s="10">
        <v>83</v>
      </c>
      <c r="CI10" s="10">
        <v>117</v>
      </c>
      <c r="CJ10" s="10">
        <v>100</v>
      </c>
      <c r="CK10" s="10">
        <v>19</v>
      </c>
      <c r="CL10" s="10">
        <v>13</v>
      </c>
      <c r="CM10" s="10"/>
      <c r="CN10" s="10"/>
      <c r="CO10" s="10"/>
      <c r="CP10" s="10">
        <v>0</v>
      </c>
      <c r="CQ10" s="10">
        <v>52</v>
      </c>
      <c r="CR10" s="10">
        <v>16</v>
      </c>
      <c r="CS10" s="10">
        <v>34</v>
      </c>
      <c r="CT10" s="10">
        <v>32</v>
      </c>
      <c r="CU10" s="10">
        <v>100</v>
      </c>
      <c r="CV10" s="10">
        <v>66</v>
      </c>
      <c r="CW10" s="10">
        <v>100</v>
      </c>
      <c r="CX10" s="10">
        <v>9</v>
      </c>
      <c r="CY10" s="10">
        <v>28</v>
      </c>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56">
        <v>50</v>
      </c>
      <c r="FD10" s="56">
        <v>725</v>
      </c>
      <c r="FE10" s="56">
        <v>250</v>
      </c>
      <c r="FF10" s="56">
        <v>360</v>
      </c>
      <c r="FG10" s="56">
        <v>80</v>
      </c>
      <c r="FH10" s="56">
        <v>90</v>
      </c>
      <c r="FI10" s="56">
        <v>1065</v>
      </c>
      <c r="FJ10" s="56">
        <v>95</v>
      </c>
      <c r="FK10" s="56">
        <v>290</v>
      </c>
      <c r="FL10" s="56">
        <v>275</v>
      </c>
      <c r="FM10" s="56"/>
      <c r="FN10" s="56"/>
      <c r="FO10" s="56"/>
    </row>
    <row r="11" spans="1:171" x14ac:dyDescent="0.25">
      <c r="A11" s="29">
        <v>10</v>
      </c>
      <c r="B11" s="27" t="s">
        <v>227</v>
      </c>
      <c r="C11" s="10">
        <v>157</v>
      </c>
      <c r="D11" s="10">
        <v>7.5</v>
      </c>
      <c r="E11" s="10">
        <v>238</v>
      </c>
      <c r="F11" s="10">
        <v>0</v>
      </c>
      <c r="G11" s="16"/>
      <c r="H11" s="16"/>
      <c r="I11" s="16"/>
      <c r="J11" s="16"/>
      <c r="K11" s="16"/>
      <c r="L11" s="10"/>
      <c r="M11" s="10"/>
      <c r="N11" s="10"/>
      <c r="O11" s="10"/>
      <c r="P11" s="10">
        <v>270</v>
      </c>
      <c r="Q11" s="10">
        <v>11.7</v>
      </c>
      <c r="R11" s="10">
        <v>126.5</v>
      </c>
      <c r="S11" s="10">
        <v>0</v>
      </c>
      <c r="T11" s="16"/>
      <c r="U11" s="10"/>
      <c r="V11" s="10"/>
      <c r="W11" s="10"/>
      <c r="X11" s="10"/>
      <c r="Y11" s="10"/>
      <c r="Z11" s="10"/>
      <c r="AA11" s="10"/>
      <c r="AB11" s="10"/>
      <c r="AC11" s="10">
        <v>215</v>
      </c>
      <c r="AD11" s="10">
        <v>11.3</v>
      </c>
      <c r="AE11" s="10">
        <v>216</v>
      </c>
      <c r="AF11" s="10">
        <v>0</v>
      </c>
      <c r="AG11" s="10"/>
      <c r="AH11" s="10"/>
      <c r="AI11" s="10"/>
      <c r="AJ11" s="10"/>
      <c r="AK11" s="10"/>
      <c r="AL11" s="10"/>
      <c r="AM11" s="10"/>
      <c r="AN11" s="10"/>
      <c r="AO11" s="10"/>
      <c r="AP11" s="10">
        <v>255</v>
      </c>
      <c r="AQ11" s="10">
        <v>11.1</v>
      </c>
      <c r="AR11" s="10">
        <v>202</v>
      </c>
      <c r="AS11" s="10">
        <v>12</v>
      </c>
      <c r="AT11" s="10"/>
      <c r="AU11" s="10"/>
      <c r="AV11" s="10"/>
      <c r="AW11" s="10"/>
      <c r="AX11" s="10"/>
      <c r="AY11" s="10"/>
      <c r="AZ11" s="10"/>
      <c r="BA11" s="10"/>
      <c r="BB11" s="10"/>
      <c r="BC11" s="10">
        <v>200</v>
      </c>
      <c r="BD11" s="10">
        <v>10.5</v>
      </c>
      <c r="BE11" s="10">
        <v>219</v>
      </c>
      <c r="BF11" s="10">
        <v>24</v>
      </c>
      <c r="BG11" s="10"/>
      <c r="BH11" s="10"/>
      <c r="BI11" s="10"/>
      <c r="BJ11" s="10"/>
      <c r="BK11" s="10"/>
      <c r="BL11" s="10"/>
      <c r="BM11" s="10"/>
      <c r="BN11" s="10"/>
      <c r="BO11" s="10"/>
      <c r="BP11" s="10">
        <v>188</v>
      </c>
      <c r="BQ11" s="10">
        <v>10.4</v>
      </c>
      <c r="BR11" s="10">
        <v>107</v>
      </c>
      <c r="BS11" s="10">
        <v>22</v>
      </c>
      <c r="BT11" s="10"/>
      <c r="BU11" s="10"/>
      <c r="BV11" s="10"/>
      <c r="BW11" s="10"/>
      <c r="BX11" s="10"/>
      <c r="BY11" s="10"/>
      <c r="BZ11" s="10"/>
      <c r="CA11" s="10"/>
      <c r="CB11" s="10"/>
      <c r="CC11" s="10">
        <v>243</v>
      </c>
      <c r="CD11" s="10">
        <v>11.6</v>
      </c>
      <c r="CE11" s="10">
        <v>74</v>
      </c>
      <c r="CF11" s="10">
        <v>77</v>
      </c>
      <c r="CG11" s="10"/>
      <c r="CH11" s="10"/>
      <c r="CI11" s="10"/>
      <c r="CJ11" s="10"/>
      <c r="CK11" s="10"/>
      <c r="CL11" s="10"/>
      <c r="CM11" s="10"/>
      <c r="CN11" s="10"/>
      <c r="CO11" s="10"/>
      <c r="CP11" s="10">
        <v>244</v>
      </c>
      <c r="CQ11" s="10">
        <v>12.2</v>
      </c>
      <c r="CR11" s="10">
        <v>194</v>
      </c>
      <c r="CS11" s="10">
        <v>15</v>
      </c>
      <c r="CT11" s="10"/>
      <c r="CU11" s="10"/>
      <c r="CV11" s="10"/>
      <c r="CW11" s="10"/>
      <c r="CX11" s="10"/>
      <c r="CY11" s="10"/>
      <c r="CZ11" s="10"/>
      <c r="DA11" s="10"/>
      <c r="DB11" s="10"/>
      <c r="DC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56">
        <v>2275</v>
      </c>
      <c r="FD11" s="56">
        <v>9</v>
      </c>
      <c r="FE11" s="56">
        <v>2000</v>
      </c>
      <c r="FF11" s="56">
        <v>200</v>
      </c>
      <c r="FG11" s="56"/>
      <c r="FH11" s="56"/>
      <c r="FI11" s="56"/>
      <c r="FJ11" s="56"/>
      <c r="FK11" s="56"/>
      <c r="FL11" s="56"/>
      <c r="FM11" s="56"/>
      <c r="FN11" s="56"/>
      <c r="FO11" s="56"/>
    </row>
    <row r="12" spans="1:171" x14ac:dyDescent="0.25">
      <c r="A12" s="25">
        <v>11</v>
      </c>
      <c r="B12" s="27" t="s">
        <v>6</v>
      </c>
      <c r="C12" s="10">
        <v>178</v>
      </c>
      <c r="D12" s="10">
        <v>250</v>
      </c>
      <c r="E12" s="10">
        <v>20</v>
      </c>
      <c r="F12" s="10">
        <v>0</v>
      </c>
      <c r="G12" s="16">
        <v>27</v>
      </c>
      <c r="H12" s="16">
        <v>0</v>
      </c>
      <c r="I12" s="16">
        <v>16</v>
      </c>
      <c r="J12" s="16">
        <v>48</v>
      </c>
      <c r="K12" s="16">
        <v>693</v>
      </c>
      <c r="L12" s="10">
        <v>33</v>
      </c>
      <c r="M12" s="10">
        <v>13</v>
      </c>
      <c r="N12" s="10">
        <v>18</v>
      </c>
      <c r="O12" s="10">
        <v>850</v>
      </c>
      <c r="P12" s="10">
        <v>179</v>
      </c>
      <c r="Q12" s="10">
        <v>511</v>
      </c>
      <c r="R12" s="10">
        <v>22</v>
      </c>
      <c r="S12" s="10">
        <v>0</v>
      </c>
      <c r="T12" s="16">
        <v>35</v>
      </c>
      <c r="U12" s="10">
        <v>0</v>
      </c>
      <c r="V12" s="10">
        <v>11</v>
      </c>
      <c r="W12" s="10">
        <v>56</v>
      </c>
      <c r="X12" s="10">
        <v>703</v>
      </c>
      <c r="Y12" s="10">
        <v>33.700000000000003</v>
      </c>
      <c r="Z12" s="10">
        <v>10</v>
      </c>
      <c r="AA12" s="10">
        <v>32</v>
      </c>
      <c r="AB12" s="10">
        <v>922</v>
      </c>
      <c r="AC12" s="10">
        <v>176</v>
      </c>
      <c r="AD12" s="10">
        <v>388</v>
      </c>
      <c r="AE12" s="10">
        <v>19</v>
      </c>
      <c r="AF12" s="10">
        <v>0</v>
      </c>
      <c r="AG12" s="10">
        <v>38</v>
      </c>
      <c r="AH12" s="10">
        <v>0</v>
      </c>
      <c r="AI12" s="10">
        <v>14</v>
      </c>
      <c r="AJ12" s="10">
        <v>44</v>
      </c>
      <c r="AK12" s="10">
        <v>519</v>
      </c>
      <c r="AL12" s="10">
        <v>37.4</v>
      </c>
      <c r="AM12" s="10">
        <v>11</v>
      </c>
      <c r="AN12" s="10">
        <v>14</v>
      </c>
      <c r="AO12" s="10">
        <v>785</v>
      </c>
      <c r="AP12" s="10">
        <v>258</v>
      </c>
      <c r="AQ12" s="10">
        <v>825</v>
      </c>
      <c r="AR12" s="10">
        <v>35</v>
      </c>
      <c r="AS12" s="10">
        <v>0</v>
      </c>
      <c r="AT12" s="10">
        <v>40</v>
      </c>
      <c r="AU12" s="10">
        <v>0</v>
      </c>
      <c r="AV12" s="10">
        <v>11</v>
      </c>
      <c r="AW12" s="10">
        <v>59</v>
      </c>
      <c r="AX12" s="10">
        <v>764</v>
      </c>
      <c r="AY12" s="10">
        <v>37.799999999999997</v>
      </c>
      <c r="AZ12" s="10">
        <v>10</v>
      </c>
      <c r="BA12" s="10">
        <v>12</v>
      </c>
      <c r="BB12" s="10">
        <v>893</v>
      </c>
      <c r="BC12" s="10">
        <v>229</v>
      </c>
      <c r="BD12" s="10">
        <v>534</v>
      </c>
      <c r="BE12" s="10">
        <v>28</v>
      </c>
      <c r="BF12" s="10">
        <v>0</v>
      </c>
      <c r="BG12" s="10">
        <v>24</v>
      </c>
      <c r="BH12" s="10">
        <v>0</v>
      </c>
      <c r="BI12" s="10">
        <v>15</v>
      </c>
      <c r="BJ12" s="10">
        <v>52</v>
      </c>
      <c r="BK12" s="10">
        <v>615</v>
      </c>
      <c r="BL12" s="10">
        <v>33</v>
      </c>
      <c r="BM12" s="10">
        <v>10</v>
      </c>
      <c r="BN12" s="10">
        <v>22</v>
      </c>
      <c r="BO12" s="10">
        <v>899</v>
      </c>
      <c r="BP12" s="10">
        <v>207</v>
      </c>
      <c r="BQ12" s="10">
        <v>232</v>
      </c>
      <c r="BR12" s="10">
        <v>24</v>
      </c>
      <c r="BS12" s="10">
        <v>0</v>
      </c>
      <c r="BT12" s="10">
        <v>26</v>
      </c>
      <c r="BU12" s="10">
        <v>0</v>
      </c>
      <c r="BV12" s="10">
        <v>16</v>
      </c>
      <c r="BW12" s="10">
        <v>36</v>
      </c>
      <c r="BX12" s="10">
        <v>576</v>
      </c>
      <c r="BY12" s="10">
        <v>29.9</v>
      </c>
      <c r="BZ12" s="10">
        <v>11</v>
      </c>
      <c r="CA12" s="10">
        <v>24</v>
      </c>
      <c r="CB12" s="10">
        <v>867</v>
      </c>
      <c r="CC12" s="10">
        <v>292</v>
      </c>
      <c r="CD12" s="10">
        <v>302</v>
      </c>
      <c r="CE12" s="10">
        <v>28</v>
      </c>
      <c r="CF12" s="10">
        <v>0</v>
      </c>
      <c r="CG12" s="10">
        <v>39</v>
      </c>
      <c r="CH12" s="10">
        <v>0</v>
      </c>
      <c r="CI12" s="10">
        <v>24</v>
      </c>
      <c r="CJ12" s="10">
        <v>83</v>
      </c>
      <c r="CK12" s="10">
        <v>779</v>
      </c>
      <c r="CL12" s="10">
        <v>37.799999999999997</v>
      </c>
      <c r="CM12" s="10">
        <v>12</v>
      </c>
      <c r="CN12" s="10">
        <v>23</v>
      </c>
      <c r="CO12" s="10">
        <v>1016</v>
      </c>
      <c r="CP12" s="10">
        <v>180</v>
      </c>
      <c r="CQ12" s="10">
        <v>276</v>
      </c>
      <c r="CR12" s="10">
        <v>23</v>
      </c>
      <c r="CS12" s="10">
        <v>0</v>
      </c>
      <c r="CT12" s="10">
        <v>24</v>
      </c>
      <c r="CU12" s="10">
        <v>0</v>
      </c>
      <c r="CV12" s="10">
        <v>17</v>
      </c>
      <c r="CW12" s="10">
        <v>44</v>
      </c>
      <c r="CX12" s="10">
        <v>597</v>
      </c>
      <c r="CY12" s="10">
        <v>33.299999999999997</v>
      </c>
      <c r="CZ12" s="10">
        <v>9</v>
      </c>
      <c r="DA12" s="10">
        <v>18</v>
      </c>
      <c r="DB12" s="10">
        <v>903</v>
      </c>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56">
        <v>2125</v>
      </c>
      <c r="FD12" s="56">
        <v>5200</v>
      </c>
      <c r="FE12" s="56">
        <v>22</v>
      </c>
      <c r="FF12" s="56">
        <v>1</v>
      </c>
      <c r="FG12" s="56">
        <v>340</v>
      </c>
      <c r="FH12" s="56">
        <v>1</v>
      </c>
      <c r="FI12" s="56">
        <v>200</v>
      </c>
      <c r="FJ12" s="56">
        <v>775</v>
      </c>
      <c r="FK12" s="56">
        <v>7900</v>
      </c>
      <c r="FL12" s="56">
        <v>30</v>
      </c>
      <c r="FM12" s="56">
        <v>110</v>
      </c>
      <c r="FN12" s="56">
        <v>295</v>
      </c>
      <c r="FO12" s="56">
        <v>7900</v>
      </c>
    </row>
    <row r="13" spans="1:171" x14ac:dyDescent="0.25">
      <c r="A13" s="25">
        <v>12</v>
      </c>
      <c r="B13" s="27" t="s">
        <v>434</v>
      </c>
      <c r="C13" s="10">
        <v>3</v>
      </c>
      <c r="D13" s="10">
        <v>8.1999999999999993</v>
      </c>
      <c r="E13" s="10">
        <v>3</v>
      </c>
      <c r="F13" s="10">
        <v>8.1999999999999993</v>
      </c>
      <c r="G13" s="16">
        <v>446</v>
      </c>
      <c r="H13" s="16">
        <v>2369</v>
      </c>
      <c r="I13" s="16">
        <v>796338</v>
      </c>
      <c r="J13" s="16"/>
      <c r="K13" s="16"/>
      <c r="L13" s="10"/>
      <c r="M13" s="10"/>
      <c r="N13" s="10"/>
      <c r="O13" s="10"/>
      <c r="P13" s="10">
        <v>5</v>
      </c>
      <c r="Q13" s="10">
        <v>10.9</v>
      </c>
      <c r="R13" s="10">
        <v>5</v>
      </c>
      <c r="S13" s="10">
        <v>10.9</v>
      </c>
      <c r="T13" s="16"/>
      <c r="U13" s="10"/>
      <c r="V13" s="10">
        <v>495151</v>
      </c>
      <c r="W13" s="10"/>
      <c r="X13" s="10"/>
      <c r="Y13" s="10"/>
      <c r="Z13" s="10"/>
      <c r="AA13" s="10"/>
      <c r="AB13" s="10"/>
      <c r="AC13" s="10">
        <v>4</v>
      </c>
      <c r="AD13" s="10">
        <v>10.9</v>
      </c>
      <c r="AE13" s="10">
        <v>3</v>
      </c>
      <c r="AF13" s="10">
        <v>10</v>
      </c>
      <c r="AG13" s="10"/>
      <c r="AH13" s="10"/>
      <c r="AI13" s="10">
        <v>389551</v>
      </c>
      <c r="AJ13" s="10"/>
      <c r="AK13" s="10"/>
      <c r="AL13" s="10"/>
      <c r="AM13" s="10"/>
      <c r="AN13" s="10"/>
      <c r="AO13" s="10"/>
      <c r="AP13" s="10">
        <v>4</v>
      </c>
      <c r="AQ13" s="10">
        <v>10.9</v>
      </c>
      <c r="AR13" s="10">
        <v>3</v>
      </c>
      <c r="AS13" s="10">
        <v>9.5</v>
      </c>
      <c r="AT13" s="10"/>
      <c r="AU13" s="10"/>
      <c r="AV13" s="10">
        <v>395487</v>
      </c>
      <c r="AW13" s="10"/>
      <c r="AX13" s="10"/>
      <c r="AY13" s="10"/>
      <c r="AZ13" s="10"/>
      <c r="BA13" s="10"/>
      <c r="BB13" s="10"/>
      <c r="BC13" s="10">
        <v>10</v>
      </c>
      <c r="BD13" s="10">
        <v>14.2</v>
      </c>
      <c r="BE13" s="10">
        <v>2</v>
      </c>
      <c r="BF13" s="10">
        <v>8.6999999999999993</v>
      </c>
      <c r="BG13" s="10"/>
      <c r="BH13" s="10"/>
      <c r="BI13" s="10">
        <v>418565</v>
      </c>
      <c r="BJ13" s="10"/>
      <c r="BK13" s="10"/>
      <c r="BL13" s="10"/>
      <c r="BM13" s="10"/>
      <c r="BN13" s="10"/>
      <c r="BO13" s="10"/>
      <c r="BP13" s="10">
        <v>8</v>
      </c>
      <c r="BQ13" s="10">
        <v>15.5</v>
      </c>
      <c r="BR13" s="10">
        <v>4</v>
      </c>
      <c r="BS13" s="10">
        <v>9.1</v>
      </c>
      <c r="BT13" s="10"/>
      <c r="BU13" s="10"/>
      <c r="BV13" s="10">
        <v>347325</v>
      </c>
      <c r="BW13" s="10"/>
      <c r="BX13" s="10"/>
      <c r="BY13" s="10"/>
      <c r="BZ13" s="10"/>
      <c r="CA13" s="10"/>
      <c r="CB13" s="10"/>
      <c r="CC13" s="10">
        <v>4</v>
      </c>
      <c r="CD13" s="10">
        <v>14.8</v>
      </c>
      <c r="CE13" s="10">
        <v>3</v>
      </c>
      <c r="CF13" s="10">
        <v>9</v>
      </c>
      <c r="CG13" s="10"/>
      <c r="CH13" s="10"/>
      <c r="CI13" s="10">
        <v>441258</v>
      </c>
      <c r="CJ13" s="10"/>
      <c r="CK13" s="10"/>
      <c r="CL13" s="10"/>
      <c r="CM13" s="10"/>
      <c r="CN13" s="10"/>
      <c r="CO13" s="10"/>
      <c r="CP13" s="10">
        <v>1</v>
      </c>
      <c r="CQ13" s="10">
        <v>13.3</v>
      </c>
      <c r="CR13" s="10">
        <v>0</v>
      </c>
      <c r="CS13" s="10">
        <v>7.8</v>
      </c>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56">
        <v>40</v>
      </c>
      <c r="FD13" s="56">
        <v>9</v>
      </c>
      <c r="FE13" s="56">
        <v>25</v>
      </c>
      <c r="FF13" s="56">
        <v>6.5</v>
      </c>
      <c r="FG13" s="56">
        <v>2500</v>
      </c>
      <c r="FH13" s="56">
        <v>25600</v>
      </c>
      <c r="FI13" s="56">
        <v>5314022</v>
      </c>
      <c r="FJ13" s="56"/>
      <c r="FK13" s="56"/>
      <c r="FL13" s="56"/>
      <c r="FM13" s="56"/>
      <c r="FN13" s="56"/>
      <c r="FO13" s="56"/>
    </row>
    <row r="14" spans="1:171" x14ac:dyDescent="0.25">
      <c r="A14" s="25">
        <v>13</v>
      </c>
      <c r="B14" s="27" t="s">
        <v>228</v>
      </c>
      <c r="C14" s="10">
        <v>295</v>
      </c>
      <c r="D14" s="10">
        <v>46</v>
      </c>
      <c r="E14" s="10">
        <v>176</v>
      </c>
      <c r="F14" s="10">
        <v>225</v>
      </c>
      <c r="G14" s="16">
        <v>151</v>
      </c>
      <c r="H14" s="16">
        <v>4</v>
      </c>
      <c r="I14" s="16">
        <v>1.42</v>
      </c>
      <c r="J14" s="16">
        <v>42.7</v>
      </c>
      <c r="K14" s="16">
        <v>6.25</v>
      </c>
      <c r="L14" s="10">
        <v>350</v>
      </c>
      <c r="M14" s="10">
        <v>100</v>
      </c>
      <c r="N14" s="10"/>
      <c r="O14" s="10"/>
      <c r="P14" s="10">
        <v>455</v>
      </c>
      <c r="Q14" s="10">
        <v>64</v>
      </c>
      <c r="R14" s="10">
        <v>259</v>
      </c>
      <c r="S14" s="10">
        <v>236</v>
      </c>
      <c r="T14" s="16">
        <v>171</v>
      </c>
      <c r="U14" s="10">
        <v>0</v>
      </c>
      <c r="V14" s="10">
        <v>2.12</v>
      </c>
      <c r="W14" s="10">
        <v>51.5</v>
      </c>
      <c r="X14" s="10">
        <v>5.64</v>
      </c>
      <c r="Y14" s="10">
        <v>318</v>
      </c>
      <c r="Z14" s="10">
        <v>84</v>
      </c>
      <c r="AA14" s="10"/>
      <c r="AB14" s="10"/>
      <c r="AC14" s="10">
        <v>331</v>
      </c>
      <c r="AD14" s="10">
        <v>65</v>
      </c>
      <c r="AE14" s="10">
        <v>211</v>
      </c>
      <c r="AF14" s="10">
        <v>203</v>
      </c>
      <c r="AG14" s="10">
        <v>170</v>
      </c>
      <c r="AH14" s="10">
        <v>6</v>
      </c>
      <c r="AI14" s="10">
        <v>1.83</v>
      </c>
      <c r="AJ14" s="10">
        <v>54.8</v>
      </c>
      <c r="AK14" s="10">
        <v>3.82</v>
      </c>
      <c r="AL14" s="10">
        <v>222</v>
      </c>
      <c r="AM14" s="10">
        <v>100</v>
      </c>
      <c r="AN14" s="10"/>
      <c r="AO14" s="10"/>
      <c r="AP14" s="10">
        <v>388</v>
      </c>
      <c r="AQ14" s="10">
        <v>46</v>
      </c>
      <c r="AR14" s="10">
        <v>270</v>
      </c>
      <c r="AS14" s="10">
        <v>211</v>
      </c>
      <c r="AT14" s="10">
        <v>213</v>
      </c>
      <c r="AU14" s="10">
        <v>0</v>
      </c>
      <c r="AV14" s="10">
        <v>1.63</v>
      </c>
      <c r="AW14" s="10">
        <v>49</v>
      </c>
      <c r="AX14" s="10">
        <v>9.44</v>
      </c>
      <c r="AY14" s="10">
        <v>376</v>
      </c>
      <c r="AZ14" s="10">
        <v>100</v>
      </c>
      <c r="BA14" s="10"/>
      <c r="BB14" s="10"/>
      <c r="BC14" s="10">
        <v>300</v>
      </c>
      <c r="BD14" s="10">
        <v>23</v>
      </c>
      <c r="BE14" s="10">
        <v>206</v>
      </c>
      <c r="BF14" s="10">
        <v>173</v>
      </c>
      <c r="BG14" s="10">
        <v>207</v>
      </c>
      <c r="BH14" s="10">
        <v>1</v>
      </c>
      <c r="BI14" s="10">
        <v>1.6</v>
      </c>
      <c r="BJ14" s="10">
        <v>47.9</v>
      </c>
      <c r="BK14" s="10">
        <v>5.25</v>
      </c>
      <c r="BL14" s="10">
        <v>269</v>
      </c>
      <c r="BM14" s="10">
        <v>100</v>
      </c>
      <c r="BN14" s="10"/>
      <c r="BO14" s="10"/>
      <c r="BP14" s="10">
        <v>265</v>
      </c>
      <c r="BQ14" s="10">
        <v>23</v>
      </c>
      <c r="BR14" s="10">
        <v>194</v>
      </c>
      <c r="BS14" s="10">
        <v>174</v>
      </c>
      <c r="BT14" s="10">
        <v>145</v>
      </c>
      <c r="BU14" s="10">
        <v>0</v>
      </c>
      <c r="BV14" s="10">
        <v>1.48</v>
      </c>
      <c r="BW14" s="10">
        <v>44.5</v>
      </c>
      <c r="BX14" s="10">
        <v>7.26</v>
      </c>
      <c r="BY14" s="10">
        <v>267</v>
      </c>
      <c r="BZ14" s="10">
        <v>100</v>
      </c>
      <c r="CA14" s="10"/>
      <c r="CB14" s="10"/>
      <c r="CC14" s="10">
        <v>364</v>
      </c>
      <c r="CD14" s="10">
        <v>21</v>
      </c>
      <c r="CE14" s="10">
        <v>247</v>
      </c>
      <c r="CF14" s="10">
        <v>194</v>
      </c>
      <c r="CG14" s="10">
        <v>183</v>
      </c>
      <c r="CH14" s="10">
        <v>0</v>
      </c>
      <c r="CI14" s="10">
        <v>1.6</v>
      </c>
      <c r="CJ14" s="10">
        <v>48</v>
      </c>
      <c r="CK14" s="10">
        <v>25.4</v>
      </c>
      <c r="CL14" s="10">
        <v>359</v>
      </c>
      <c r="CM14" s="10">
        <v>100</v>
      </c>
      <c r="CN14" s="10"/>
      <c r="CO14" s="10"/>
      <c r="CP14" s="10">
        <v>332</v>
      </c>
      <c r="CQ14" s="10">
        <v>22</v>
      </c>
      <c r="CR14" s="10">
        <v>218</v>
      </c>
      <c r="CS14" s="10">
        <v>168</v>
      </c>
      <c r="CT14" s="10">
        <v>221</v>
      </c>
      <c r="CU14" s="10">
        <v>0</v>
      </c>
      <c r="CV14" s="10">
        <v>1.6</v>
      </c>
      <c r="CW14" s="10">
        <v>48.1</v>
      </c>
      <c r="CX14" s="10">
        <v>4.26</v>
      </c>
      <c r="CY14" s="10">
        <v>262</v>
      </c>
      <c r="CZ14" s="10">
        <v>89</v>
      </c>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56">
        <v>3350</v>
      </c>
      <c r="FD14" s="56">
        <v>470</v>
      </c>
      <c r="FE14" s="56">
        <v>2450</v>
      </c>
      <c r="FF14" s="56">
        <v>1900</v>
      </c>
      <c r="FG14" s="56">
        <v>2175</v>
      </c>
      <c r="FH14" s="56">
        <v>75</v>
      </c>
      <c r="FI14" s="56">
        <v>1.5</v>
      </c>
      <c r="FJ14" s="56">
        <v>45</v>
      </c>
      <c r="FK14" s="56">
        <v>70</v>
      </c>
      <c r="FL14" s="56">
        <v>3300</v>
      </c>
      <c r="FM14" s="56">
        <v>90</v>
      </c>
      <c r="FN14" s="56"/>
      <c r="FO14" s="56"/>
    </row>
    <row r="15" spans="1:171" x14ac:dyDescent="0.25">
      <c r="A15" s="25">
        <v>14</v>
      </c>
      <c r="B15" s="27" t="s">
        <v>230</v>
      </c>
      <c r="C15" s="10">
        <v>100</v>
      </c>
      <c r="D15" s="10">
        <v>100</v>
      </c>
      <c r="E15" s="10">
        <v>100</v>
      </c>
      <c r="F15" s="10">
        <v>80</v>
      </c>
      <c r="G15" s="10">
        <v>100</v>
      </c>
      <c r="H15" s="10">
        <v>6</v>
      </c>
      <c r="I15" s="10">
        <v>211</v>
      </c>
      <c r="J15" s="10"/>
      <c r="K15" s="10"/>
      <c r="L15" s="10"/>
      <c r="M15" s="10"/>
      <c r="N15" s="10"/>
      <c r="O15" s="10"/>
      <c r="P15" s="10">
        <v>100</v>
      </c>
      <c r="Q15" s="10">
        <v>100</v>
      </c>
      <c r="R15" s="10">
        <v>100</v>
      </c>
      <c r="S15" s="10">
        <v>100</v>
      </c>
      <c r="T15" s="16">
        <v>100</v>
      </c>
      <c r="U15" s="10">
        <v>2</v>
      </c>
      <c r="V15" s="10">
        <v>271</v>
      </c>
      <c r="W15" s="10"/>
      <c r="X15" s="10"/>
      <c r="Y15" s="10"/>
      <c r="Z15" s="10"/>
      <c r="AA15" s="10"/>
      <c r="AB15" s="10"/>
      <c r="AC15" s="10">
        <v>100</v>
      </c>
      <c r="AD15" s="10">
        <v>100</v>
      </c>
      <c r="AE15" s="10">
        <v>100</v>
      </c>
      <c r="AF15" s="10">
        <v>0</v>
      </c>
      <c r="AG15" s="10">
        <v>100</v>
      </c>
      <c r="AH15" s="10">
        <v>1</v>
      </c>
      <c r="AI15" s="10">
        <v>490</v>
      </c>
      <c r="AJ15" s="10"/>
      <c r="AK15" s="10"/>
      <c r="AL15" s="10"/>
      <c r="AM15" s="10"/>
      <c r="AN15" s="10"/>
      <c r="AO15" s="10"/>
      <c r="AP15" s="10">
        <v>100</v>
      </c>
      <c r="AQ15" s="10">
        <v>100</v>
      </c>
      <c r="AR15" s="10">
        <v>100</v>
      </c>
      <c r="AS15" s="10">
        <v>0</v>
      </c>
      <c r="AT15" s="10">
        <v>100</v>
      </c>
      <c r="AU15" s="10">
        <v>1</v>
      </c>
      <c r="AV15" s="10">
        <v>557</v>
      </c>
      <c r="AW15" s="10"/>
      <c r="AX15" s="10"/>
      <c r="AY15" s="10"/>
      <c r="AZ15" s="10"/>
      <c r="BA15" s="10"/>
      <c r="BB15" s="10"/>
      <c r="BC15" s="10">
        <v>100</v>
      </c>
      <c r="BD15" s="10">
        <v>100</v>
      </c>
      <c r="BE15" s="10">
        <v>100</v>
      </c>
      <c r="BF15" s="10">
        <v>100</v>
      </c>
      <c r="BG15" s="10">
        <v>100</v>
      </c>
      <c r="BH15" s="10">
        <v>1</v>
      </c>
      <c r="BI15" s="10">
        <v>102</v>
      </c>
      <c r="BJ15" s="10"/>
      <c r="BK15" s="10"/>
      <c r="BL15" s="10"/>
      <c r="BM15" s="10"/>
      <c r="BN15" s="10"/>
      <c r="BO15" s="10"/>
      <c r="BP15" s="10">
        <v>100</v>
      </c>
      <c r="BQ15" s="10">
        <v>100</v>
      </c>
      <c r="BR15" s="10">
        <v>100</v>
      </c>
      <c r="BS15" s="10">
        <v>0</v>
      </c>
      <c r="BT15" s="10">
        <v>0</v>
      </c>
      <c r="BU15" s="10">
        <v>0</v>
      </c>
      <c r="BV15" s="10">
        <v>362</v>
      </c>
      <c r="BW15" s="10"/>
      <c r="BX15" s="10"/>
      <c r="BY15" s="10"/>
      <c r="BZ15" s="10"/>
      <c r="CA15" s="10"/>
      <c r="CB15" s="10"/>
      <c r="CC15" s="10">
        <v>100</v>
      </c>
      <c r="CD15" s="10">
        <v>100</v>
      </c>
      <c r="CE15" s="10">
        <v>100</v>
      </c>
      <c r="CF15" s="10">
        <v>0</v>
      </c>
      <c r="CG15" s="10">
        <v>0</v>
      </c>
      <c r="CH15" s="10">
        <v>0</v>
      </c>
      <c r="CI15" s="10">
        <v>397</v>
      </c>
      <c r="CJ15" s="10"/>
      <c r="CK15" s="10"/>
      <c r="CL15" s="10"/>
      <c r="CM15" s="10"/>
      <c r="CN15" s="10"/>
      <c r="CO15" s="10"/>
      <c r="CP15" s="10">
        <v>100</v>
      </c>
      <c r="CQ15" s="10">
        <v>100</v>
      </c>
      <c r="CR15" s="10">
        <v>100</v>
      </c>
      <c r="CS15" s="10">
        <v>0</v>
      </c>
      <c r="CT15" s="10">
        <v>0</v>
      </c>
      <c r="CU15" s="10">
        <v>0</v>
      </c>
      <c r="CV15" s="10">
        <v>183</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56">
        <v>99.99</v>
      </c>
      <c r="FD15" s="56">
        <v>99.99</v>
      </c>
      <c r="FE15" s="56">
        <v>99.99</v>
      </c>
      <c r="FF15" s="56">
        <v>55</v>
      </c>
      <c r="FG15" s="56">
        <v>75</v>
      </c>
      <c r="FH15" s="56">
        <v>50</v>
      </c>
      <c r="FI15" s="56"/>
      <c r="FJ15" s="56"/>
      <c r="FK15" s="56"/>
      <c r="FL15" s="56"/>
      <c r="FM15" s="56"/>
      <c r="FN15" s="56"/>
      <c r="FO15" s="56"/>
    </row>
    <row r="16" spans="1:171" x14ac:dyDescent="0.25">
      <c r="A16" s="25">
        <v>15</v>
      </c>
      <c r="B16" s="27" t="s">
        <v>7</v>
      </c>
      <c r="C16" s="10">
        <v>129.1</v>
      </c>
      <c r="D16" s="10">
        <v>13.9</v>
      </c>
      <c r="E16" s="10">
        <v>286</v>
      </c>
      <c r="F16" s="10">
        <v>9.1999999999999993</v>
      </c>
      <c r="G16" s="10">
        <v>264</v>
      </c>
      <c r="H16" s="10">
        <v>87.5</v>
      </c>
      <c r="I16" s="10"/>
      <c r="J16" s="10"/>
      <c r="K16" s="10"/>
      <c r="L16" s="10"/>
      <c r="M16" s="10"/>
      <c r="N16" s="10"/>
      <c r="O16" s="10"/>
      <c r="P16" s="10">
        <v>131.6</v>
      </c>
      <c r="Q16" s="10">
        <v>14.1</v>
      </c>
      <c r="R16" s="10">
        <v>289</v>
      </c>
      <c r="S16" s="10">
        <v>9.3000000000000007</v>
      </c>
      <c r="T16" s="16">
        <v>299</v>
      </c>
      <c r="U16" s="10">
        <v>83.7</v>
      </c>
      <c r="V16" s="10"/>
      <c r="W16" s="10"/>
      <c r="X16" s="10"/>
      <c r="Y16" s="10"/>
      <c r="Z16" s="10"/>
      <c r="AA16" s="10"/>
      <c r="AB16" s="10"/>
      <c r="AI16" s="10"/>
      <c r="AJ16" s="10"/>
      <c r="AK16" s="10"/>
      <c r="AL16" s="10"/>
      <c r="AM16" s="10"/>
      <c r="AN16" s="10"/>
      <c r="AO16" s="10"/>
      <c r="AP16" s="10">
        <v>127.6</v>
      </c>
      <c r="AQ16" s="10">
        <v>14.4</v>
      </c>
      <c r="AR16" s="10">
        <v>275</v>
      </c>
      <c r="AS16" s="10">
        <v>8.9</v>
      </c>
      <c r="AT16" s="10">
        <v>255</v>
      </c>
      <c r="AU16" s="10">
        <v>82</v>
      </c>
      <c r="AV16" s="10"/>
      <c r="AW16" s="10"/>
      <c r="AX16" s="10"/>
      <c r="AY16" s="10"/>
      <c r="AZ16" s="10"/>
      <c r="BA16" s="10"/>
      <c r="BB16" s="10"/>
      <c r="BC16" s="10">
        <v>137.69999999999999</v>
      </c>
      <c r="BD16" s="10">
        <v>17.600000000000001</v>
      </c>
      <c r="BE16" s="10">
        <v>234</v>
      </c>
      <c r="BF16" s="10">
        <v>7.8</v>
      </c>
      <c r="BG16" s="10">
        <v>238</v>
      </c>
      <c r="BH16" s="10">
        <v>85.8</v>
      </c>
      <c r="BI16" s="10"/>
      <c r="BJ16" s="10"/>
      <c r="BK16" s="10"/>
      <c r="BL16" s="10"/>
      <c r="BM16" s="10"/>
      <c r="BN16" s="10"/>
      <c r="BO16" s="10"/>
      <c r="BP16" s="10">
        <v>133.4</v>
      </c>
      <c r="BQ16" s="10">
        <v>20.100000000000001</v>
      </c>
      <c r="BR16" s="10">
        <v>206</v>
      </c>
      <c r="BS16" s="10">
        <v>6.6</v>
      </c>
      <c r="BT16" s="10">
        <v>219</v>
      </c>
      <c r="BU16" s="10">
        <v>87.3</v>
      </c>
      <c r="BV16" s="10"/>
      <c r="BW16" s="10"/>
      <c r="BX16" s="10"/>
      <c r="BY16" s="10"/>
      <c r="BZ16" s="10"/>
      <c r="CA16" s="10"/>
      <c r="CB16" s="10"/>
      <c r="CC16" s="10">
        <v>137.30000000000001</v>
      </c>
      <c r="CD16" s="10">
        <v>16.8</v>
      </c>
      <c r="CE16" s="10">
        <v>253</v>
      </c>
      <c r="CF16" s="10">
        <v>8.1999999999999993</v>
      </c>
      <c r="CG16" s="10">
        <v>243</v>
      </c>
      <c r="CH16" s="10">
        <v>89.8</v>
      </c>
      <c r="CI16" s="10"/>
      <c r="CJ16" s="10"/>
      <c r="CK16" s="10"/>
      <c r="CL16" s="10"/>
      <c r="CM16" s="10"/>
      <c r="CN16" s="10"/>
      <c r="CO16" s="10"/>
      <c r="CP16" s="10">
        <v>126.3</v>
      </c>
      <c r="CQ16" s="10">
        <v>15.9</v>
      </c>
      <c r="CR16" s="10">
        <v>222</v>
      </c>
      <c r="CS16" s="10">
        <v>7.9</v>
      </c>
      <c r="CT16" s="10">
        <v>235</v>
      </c>
      <c r="CU16" s="10">
        <v>88.9</v>
      </c>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56">
        <v>110</v>
      </c>
      <c r="FD16" s="56">
        <v>12</v>
      </c>
      <c r="FE16" s="56">
        <v>2800</v>
      </c>
      <c r="FF16" s="56">
        <v>7.5</v>
      </c>
      <c r="FG16" s="56">
        <v>2800</v>
      </c>
      <c r="FH16" s="56">
        <v>78</v>
      </c>
      <c r="FI16" s="56"/>
      <c r="FJ16" s="56"/>
      <c r="FK16" s="56"/>
      <c r="FL16" s="56"/>
      <c r="FM16" s="56"/>
      <c r="FN16" s="56"/>
      <c r="FO16" s="56"/>
    </row>
    <row r="17" spans="1:171" x14ac:dyDescent="0.25">
      <c r="A17" s="25">
        <v>16</v>
      </c>
      <c r="B17" s="27" t="s">
        <v>8</v>
      </c>
      <c r="C17" s="10">
        <v>15017</v>
      </c>
      <c r="D17" s="10">
        <v>8634</v>
      </c>
      <c r="E17" s="10">
        <v>1384</v>
      </c>
      <c r="F17" s="10">
        <v>1056</v>
      </c>
      <c r="G17" s="16">
        <v>11252</v>
      </c>
      <c r="H17" s="10">
        <v>2452</v>
      </c>
      <c r="I17" s="10">
        <v>2.14</v>
      </c>
      <c r="J17" s="10">
        <v>2.61</v>
      </c>
      <c r="K17" s="10">
        <v>7.59</v>
      </c>
      <c r="L17" s="10">
        <v>213</v>
      </c>
      <c r="M17" s="10">
        <v>156</v>
      </c>
      <c r="N17" s="10">
        <v>53</v>
      </c>
      <c r="O17" s="10">
        <v>0</v>
      </c>
      <c r="P17" s="10">
        <v>15664</v>
      </c>
      <c r="Q17" s="10">
        <v>7788</v>
      </c>
      <c r="R17" s="10">
        <v>901</v>
      </c>
      <c r="S17" s="10">
        <v>1036</v>
      </c>
      <c r="T17" s="16">
        <v>10780</v>
      </c>
      <c r="U17" s="10">
        <v>2507</v>
      </c>
      <c r="V17" s="10">
        <v>2.09</v>
      </c>
      <c r="W17" s="10">
        <v>2.57</v>
      </c>
      <c r="X17" s="10">
        <v>7.71</v>
      </c>
      <c r="Y17" s="10">
        <v>161</v>
      </c>
      <c r="Z17" s="10">
        <v>154</v>
      </c>
      <c r="AA17" s="10">
        <v>40</v>
      </c>
      <c r="AB17" s="10">
        <v>0</v>
      </c>
      <c r="AC17" s="10">
        <v>13764</v>
      </c>
      <c r="AD17" s="10">
        <v>6860</v>
      </c>
      <c r="AE17" s="10">
        <v>767</v>
      </c>
      <c r="AF17" s="10">
        <v>827</v>
      </c>
      <c r="AG17" s="10">
        <v>8065</v>
      </c>
      <c r="AH17" s="10">
        <v>2408</v>
      </c>
      <c r="AI17" s="10">
        <v>1.91</v>
      </c>
      <c r="AJ17" s="10">
        <v>2.38</v>
      </c>
      <c r="AK17" s="10">
        <v>8.33</v>
      </c>
      <c r="AL17" s="10">
        <v>148</v>
      </c>
      <c r="AM17" s="10">
        <v>204</v>
      </c>
      <c r="AN17" s="10">
        <v>37</v>
      </c>
      <c r="AO17" s="10">
        <v>0</v>
      </c>
      <c r="AP17" s="10">
        <v>13996</v>
      </c>
      <c r="AQ17" s="10">
        <v>6968</v>
      </c>
      <c r="AR17" s="10">
        <v>1032</v>
      </c>
      <c r="AS17" s="10">
        <v>988</v>
      </c>
      <c r="AT17" s="10">
        <v>10199</v>
      </c>
      <c r="AU17" s="10">
        <v>2446</v>
      </c>
      <c r="AV17" s="10">
        <v>1.92</v>
      </c>
      <c r="AW17" s="10">
        <v>2.38</v>
      </c>
      <c r="AX17" s="10">
        <v>8.31</v>
      </c>
      <c r="AY17" s="10">
        <v>366</v>
      </c>
      <c r="AZ17" s="10">
        <v>1555</v>
      </c>
      <c r="BA17" s="10">
        <v>92</v>
      </c>
      <c r="BB17" s="10">
        <v>0</v>
      </c>
      <c r="BC17" s="10">
        <v>11966</v>
      </c>
      <c r="BD17" s="10">
        <v>5712</v>
      </c>
      <c r="BE17" s="10">
        <v>1037</v>
      </c>
      <c r="BF17" s="10">
        <v>863</v>
      </c>
      <c r="BG17" s="10">
        <v>7741</v>
      </c>
      <c r="BH17" s="10">
        <v>1997</v>
      </c>
      <c r="BI17" s="10">
        <v>1.83</v>
      </c>
      <c r="BJ17" s="10">
        <v>2.2799999999999998</v>
      </c>
      <c r="BK17" s="10">
        <v>8.69</v>
      </c>
      <c r="BL17" s="10">
        <v>406</v>
      </c>
      <c r="BM17" s="10">
        <v>610</v>
      </c>
      <c r="BN17" s="10">
        <v>102</v>
      </c>
      <c r="BO17" s="10">
        <v>0</v>
      </c>
      <c r="BP17" s="15">
        <v>10707</v>
      </c>
      <c r="BQ17" s="10">
        <v>5017</v>
      </c>
      <c r="BR17" s="10">
        <v>1053</v>
      </c>
      <c r="BS17" s="10">
        <v>736</v>
      </c>
      <c r="BT17" s="10">
        <v>6793</v>
      </c>
      <c r="BU17" s="10">
        <v>1896</v>
      </c>
      <c r="BV17" s="10">
        <v>1.74</v>
      </c>
      <c r="BW17" s="10">
        <v>2.17</v>
      </c>
      <c r="BX17" s="10">
        <v>9.11</v>
      </c>
      <c r="BY17" s="10">
        <v>241</v>
      </c>
      <c r="BZ17" s="10">
        <v>159</v>
      </c>
      <c r="CA17" s="10">
        <v>60</v>
      </c>
      <c r="CB17" s="10">
        <v>0</v>
      </c>
      <c r="CC17" s="10">
        <v>13619</v>
      </c>
      <c r="CD17" s="10">
        <v>6546</v>
      </c>
      <c r="CE17" s="10">
        <v>1322</v>
      </c>
      <c r="CF17" s="10">
        <v>842</v>
      </c>
      <c r="CG17" s="10">
        <v>8626</v>
      </c>
      <c r="CH17" s="10">
        <v>2518</v>
      </c>
      <c r="CI17" s="10">
        <v>1.72</v>
      </c>
      <c r="CJ17" s="10">
        <v>2.17</v>
      </c>
      <c r="CK17" s="10">
        <v>9.14</v>
      </c>
      <c r="CL17" s="10">
        <v>225</v>
      </c>
      <c r="CM17" s="10">
        <v>228</v>
      </c>
      <c r="CN17" s="10">
        <v>56</v>
      </c>
      <c r="CO17" s="10">
        <v>0</v>
      </c>
      <c r="CP17" s="10">
        <v>12245</v>
      </c>
      <c r="CQ17" s="10">
        <v>5762</v>
      </c>
      <c r="CR17" s="10">
        <v>1164</v>
      </c>
      <c r="CS17" s="10">
        <v>904</v>
      </c>
      <c r="CT17" s="10">
        <v>8153</v>
      </c>
      <c r="CU17" s="10">
        <v>2236</v>
      </c>
      <c r="CV17" s="10">
        <v>1.7</v>
      </c>
      <c r="CW17" s="10">
        <v>2.14</v>
      </c>
      <c r="CX17" s="10">
        <v>9.24</v>
      </c>
      <c r="CY17" s="10">
        <v>203</v>
      </c>
      <c r="CZ17" s="10">
        <v>220</v>
      </c>
      <c r="DA17" s="10">
        <v>51</v>
      </c>
      <c r="DB17" s="10">
        <v>0</v>
      </c>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56">
        <v>175000</v>
      </c>
      <c r="FD17" s="56">
        <v>96000</v>
      </c>
      <c r="FE17" s="57">
        <v>10500</v>
      </c>
      <c r="FF17" s="57">
        <v>15000</v>
      </c>
      <c r="FG17" s="57">
        <v>130000</v>
      </c>
      <c r="FH17" s="57">
        <v>35000</v>
      </c>
      <c r="FI17" s="58">
        <v>2.25</v>
      </c>
      <c r="FJ17" s="58">
        <v>3</v>
      </c>
      <c r="FK17" s="58">
        <v>7.5</v>
      </c>
      <c r="FL17" s="57">
        <v>1250</v>
      </c>
      <c r="FM17" s="57">
        <v>1500</v>
      </c>
      <c r="FN17" s="56">
        <v>20</v>
      </c>
      <c r="FO17" s="56">
        <v>5</v>
      </c>
    </row>
    <row r="18" spans="1:171" x14ac:dyDescent="0.25">
      <c r="A18" s="25">
        <v>17</v>
      </c>
      <c r="B18" s="27" t="s">
        <v>231</v>
      </c>
      <c r="C18" s="10">
        <v>47</v>
      </c>
      <c r="D18" s="10">
        <v>2</v>
      </c>
      <c r="E18" s="10">
        <v>59</v>
      </c>
      <c r="F18" s="10">
        <v>6</v>
      </c>
      <c r="G18" s="10">
        <v>402</v>
      </c>
      <c r="H18" s="10">
        <v>39</v>
      </c>
      <c r="I18" s="10">
        <v>331</v>
      </c>
      <c r="J18" s="10">
        <v>35</v>
      </c>
      <c r="K18" s="10">
        <v>66</v>
      </c>
      <c r="L18" s="10">
        <v>89</v>
      </c>
      <c r="M18" s="10">
        <v>25</v>
      </c>
      <c r="N18" s="10"/>
      <c r="O18" s="10"/>
      <c r="P18" s="10">
        <v>44</v>
      </c>
      <c r="Q18" s="10">
        <v>0</v>
      </c>
      <c r="R18" s="10">
        <v>57</v>
      </c>
      <c r="S18" s="10">
        <v>5</v>
      </c>
      <c r="T18" s="16">
        <v>452</v>
      </c>
      <c r="U18" s="10">
        <v>48</v>
      </c>
      <c r="V18" s="10">
        <v>359</v>
      </c>
      <c r="W18" s="10">
        <v>26</v>
      </c>
      <c r="X18" s="10">
        <v>74</v>
      </c>
      <c r="Y18" s="10">
        <v>91</v>
      </c>
      <c r="Z18" s="10">
        <v>42</v>
      </c>
      <c r="AA18" s="10"/>
      <c r="AB18" s="10"/>
      <c r="AC18" s="10">
        <v>45</v>
      </c>
      <c r="AD18" s="10">
        <v>0</v>
      </c>
      <c r="AE18" s="10">
        <v>56</v>
      </c>
      <c r="AF18" s="10">
        <v>4</v>
      </c>
      <c r="AG18" s="10">
        <v>447</v>
      </c>
      <c r="AH18" s="10">
        <v>45</v>
      </c>
      <c r="AI18" s="10">
        <v>379</v>
      </c>
      <c r="AJ18" s="10">
        <v>36</v>
      </c>
      <c r="AK18" s="10">
        <v>50</v>
      </c>
      <c r="AL18" s="10">
        <v>86</v>
      </c>
      <c r="AM18" s="10">
        <v>36</v>
      </c>
      <c r="AN18" s="10"/>
      <c r="AO18" s="10"/>
      <c r="AP18" s="10">
        <v>47</v>
      </c>
      <c r="AQ18" s="10">
        <v>1</v>
      </c>
      <c r="AR18" s="10">
        <v>65</v>
      </c>
      <c r="AS18" s="10">
        <v>4</v>
      </c>
      <c r="AT18" s="10">
        <v>435</v>
      </c>
      <c r="AU18" s="10">
        <v>40</v>
      </c>
      <c r="AV18" s="10">
        <v>388</v>
      </c>
      <c r="AW18" s="10">
        <v>3</v>
      </c>
      <c r="AX18" s="10">
        <v>67</v>
      </c>
      <c r="AY18" s="10">
        <v>82</v>
      </c>
      <c r="AZ18" s="10">
        <v>32</v>
      </c>
      <c r="BA18" s="10"/>
      <c r="BB18" s="10"/>
      <c r="BC18" s="10">
        <v>55</v>
      </c>
      <c r="BD18" s="10">
        <v>1</v>
      </c>
      <c r="BE18" s="10">
        <v>73</v>
      </c>
      <c r="BF18" s="10">
        <v>3</v>
      </c>
      <c r="BG18" s="10">
        <v>498</v>
      </c>
      <c r="BH18" s="10">
        <v>52</v>
      </c>
      <c r="BI18" s="10">
        <v>357</v>
      </c>
      <c r="BJ18" s="10">
        <v>14</v>
      </c>
      <c r="BK18" s="10">
        <v>60</v>
      </c>
      <c r="BL18" s="10">
        <v>79</v>
      </c>
      <c r="BM18" s="10">
        <v>36</v>
      </c>
      <c r="BN18" s="10"/>
      <c r="BO18" s="10"/>
      <c r="BP18" s="10">
        <v>63</v>
      </c>
      <c r="BQ18" s="10">
        <v>3</v>
      </c>
      <c r="BR18" s="10">
        <v>84</v>
      </c>
      <c r="BS18" s="10">
        <v>3</v>
      </c>
      <c r="BT18" s="10">
        <v>477</v>
      </c>
      <c r="BU18" s="10">
        <v>46</v>
      </c>
      <c r="BV18" s="10">
        <v>321</v>
      </c>
      <c r="BW18" s="10">
        <v>2</v>
      </c>
      <c r="BX18" s="10">
        <v>46</v>
      </c>
      <c r="BY18" s="10">
        <v>85</v>
      </c>
      <c r="BZ18" s="10">
        <v>18</v>
      </c>
      <c r="CA18" s="10"/>
      <c r="CB18" s="10"/>
      <c r="CC18" s="10">
        <v>58</v>
      </c>
      <c r="CD18" s="10">
        <v>0</v>
      </c>
      <c r="CE18" s="10">
        <v>79</v>
      </c>
      <c r="CF18" s="10">
        <v>5</v>
      </c>
      <c r="CG18" s="10">
        <v>459</v>
      </c>
      <c r="CH18" s="10">
        <v>61</v>
      </c>
      <c r="CI18" s="10">
        <v>428</v>
      </c>
      <c r="CJ18" s="10">
        <v>15</v>
      </c>
      <c r="CK18" s="10">
        <v>52</v>
      </c>
      <c r="CL18" s="10">
        <v>92</v>
      </c>
      <c r="CM18" s="10">
        <v>36</v>
      </c>
      <c r="CN18" s="10"/>
      <c r="CO18" s="10"/>
      <c r="CP18" s="10">
        <v>8</v>
      </c>
      <c r="CQ18" s="10">
        <v>0</v>
      </c>
      <c r="CR18" s="10">
        <v>0</v>
      </c>
      <c r="CS18" s="10">
        <v>2</v>
      </c>
      <c r="CT18" s="10">
        <v>228</v>
      </c>
      <c r="CU18" s="10">
        <v>6</v>
      </c>
      <c r="CV18" s="10">
        <v>201</v>
      </c>
      <c r="CW18" s="10">
        <v>33</v>
      </c>
      <c r="CX18" s="10">
        <v>30</v>
      </c>
      <c r="CY18" s="10">
        <v>100</v>
      </c>
      <c r="CZ18" s="10">
        <v>44</v>
      </c>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56">
        <v>420</v>
      </c>
      <c r="FD18" s="56">
        <v>8</v>
      </c>
      <c r="FE18" s="56">
        <v>575</v>
      </c>
      <c r="FF18" s="56">
        <v>40</v>
      </c>
      <c r="FG18" s="56">
        <v>4500</v>
      </c>
      <c r="FH18" s="56">
        <v>525</v>
      </c>
      <c r="FI18" s="56">
        <v>3700</v>
      </c>
      <c r="FJ18" s="56">
        <v>50</v>
      </c>
      <c r="FK18" s="56">
        <v>700</v>
      </c>
      <c r="FL18" s="56">
        <v>90</v>
      </c>
      <c r="FM18" s="56">
        <v>270</v>
      </c>
      <c r="FN18" s="56"/>
      <c r="FO18" s="56"/>
    </row>
    <row r="19" spans="1:171" x14ac:dyDescent="0.25">
      <c r="A19" s="25">
        <v>18</v>
      </c>
      <c r="B19" s="27" t="s">
        <v>9</v>
      </c>
      <c r="C19" s="10">
        <v>163</v>
      </c>
      <c r="D19" s="10">
        <v>199</v>
      </c>
      <c r="E19" s="10">
        <v>483</v>
      </c>
      <c r="F19" s="10">
        <v>196</v>
      </c>
      <c r="G19" s="10">
        <v>7.8</v>
      </c>
      <c r="H19" s="10">
        <v>21577</v>
      </c>
      <c r="I19" s="10">
        <v>44108</v>
      </c>
      <c r="J19" s="10">
        <v>25.9</v>
      </c>
      <c r="K19" s="10"/>
      <c r="L19" s="10"/>
      <c r="M19" s="10"/>
      <c r="N19" s="10"/>
      <c r="O19" s="10"/>
      <c r="P19" s="10">
        <v>191</v>
      </c>
      <c r="Q19" s="10">
        <v>220</v>
      </c>
      <c r="R19" s="10">
        <v>521</v>
      </c>
      <c r="S19" s="10">
        <v>217</v>
      </c>
      <c r="T19" s="16">
        <v>8.3000000000000007</v>
      </c>
      <c r="U19" s="10">
        <v>25741</v>
      </c>
      <c r="V19" s="10">
        <v>59431</v>
      </c>
      <c r="W19" s="10">
        <v>525</v>
      </c>
      <c r="X19" s="10"/>
      <c r="Y19" s="10"/>
      <c r="Z19" s="10"/>
      <c r="AA19" s="10"/>
      <c r="AB19" s="10"/>
      <c r="AC19" s="10">
        <v>148</v>
      </c>
      <c r="AD19" s="10">
        <v>163</v>
      </c>
      <c r="AE19" s="10">
        <v>416</v>
      </c>
      <c r="AF19" s="10">
        <v>103</v>
      </c>
      <c r="AG19" s="10">
        <v>8.1999999999999993</v>
      </c>
      <c r="AH19" s="10">
        <v>19336</v>
      </c>
      <c r="AI19" s="10">
        <v>37738</v>
      </c>
      <c r="AJ19" s="10">
        <v>22</v>
      </c>
      <c r="AK19" s="10"/>
      <c r="AL19" s="10"/>
      <c r="AM19" s="10"/>
      <c r="AN19" s="10"/>
      <c r="AO19" s="10"/>
      <c r="AP19" s="10">
        <v>164</v>
      </c>
      <c r="AQ19" s="10">
        <v>209</v>
      </c>
      <c r="AR19" s="10">
        <v>482</v>
      </c>
      <c r="AS19" s="10">
        <v>164</v>
      </c>
      <c r="AT19" s="10">
        <v>7.1</v>
      </c>
      <c r="AU19" s="10">
        <v>26370</v>
      </c>
      <c r="AV19" s="10">
        <v>36485</v>
      </c>
      <c r="AW19" s="10">
        <v>73</v>
      </c>
      <c r="AX19" s="10"/>
      <c r="AY19" s="10"/>
      <c r="AZ19" s="10"/>
      <c r="BA19" s="10"/>
      <c r="BB19" s="10"/>
      <c r="BC19" s="10">
        <v>124</v>
      </c>
      <c r="BD19" s="10">
        <v>175</v>
      </c>
      <c r="BE19" s="10">
        <v>412</v>
      </c>
      <c r="BF19" s="10">
        <v>144</v>
      </c>
      <c r="BG19" s="10">
        <v>6.5</v>
      </c>
      <c r="BH19" s="10">
        <v>18388</v>
      </c>
      <c r="BI19" s="10">
        <v>29983</v>
      </c>
      <c r="BJ19" s="10">
        <v>59</v>
      </c>
      <c r="BK19" s="10"/>
      <c r="BL19" s="10"/>
      <c r="BM19" s="10"/>
      <c r="BN19" s="10"/>
      <c r="BO19" s="10"/>
      <c r="BP19" s="10">
        <v>168</v>
      </c>
      <c r="BQ19" s="10">
        <v>198</v>
      </c>
      <c r="BR19" s="10">
        <v>436</v>
      </c>
      <c r="BS19" s="10">
        <v>85</v>
      </c>
      <c r="BT19" s="10">
        <v>9.3000000000000007</v>
      </c>
      <c r="BU19" s="10">
        <v>21322</v>
      </c>
      <c r="BV19" s="10">
        <v>42289</v>
      </c>
      <c r="BW19" s="10">
        <v>149</v>
      </c>
      <c r="BX19" s="10"/>
      <c r="BY19" s="10"/>
      <c r="BZ19" s="10"/>
      <c r="CA19" s="10"/>
      <c r="CB19" s="10"/>
      <c r="CC19" s="10">
        <v>134</v>
      </c>
      <c r="CD19" s="10">
        <v>145</v>
      </c>
      <c r="CE19" s="10">
        <v>584</v>
      </c>
      <c r="CF19" s="10">
        <v>155</v>
      </c>
      <c r="CG19" s="10">
        <v>6.4</v>
      </c>
      <c r="CH19" s="10">
        <v>20182</v>
      </c>
      <c r="CI19" s="10">
        <v>31910</v>
      </c>
      <c r="CJ19" s="10">
        <v>22</v>
      </c>
      <c r="CK19" s="10"/>
      <c r="CL19" s="10"/>
      <c r="CM19" s="10"/>
      <c r="CN19" s="10"/>
      <c r="CO19" s="10"/>
      <c r="CP19" s="10">
        <v>145</v>
      </c>
      <c r="CQ19" s="10">
        <v>212</v>
      </c>
      <c r="CR19" s="10">
        <v>547</v>
      </c>
      <c r="CS19" s="10">
        <v>183</v>
      </c>
      <c r="CT19" s="10">
        <v>7.3</v>
      </c>
      <c r="CU19" s="10">
        <v>21756</v>
      </c>
      <c r="CV19" s="10">
        <v>36488</v>
      </c>
      <c r="CW19" s="10">
        <v>21</v>
      </c>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56">
        <v>1850</v>
      </c>
      <c r="FD19" s="56">
        <v>2050</v>
      </c>
      <c r="FE19" s="56">
        <v>5700</v>
      </c>
      <c r="FF19" s="56">
        <v>1600</v>
      </c>
      <c r="FG19" s="56">
        <v>7.7</v>
      </c>
      <c r="FH19" s="56">
        <v>248000</v>
      </c>
      <c r="FI19" s="56">
        <v>350000</v>
      </c>
      <c r="FJ19" s="56">
        <v>500</v>
      </c>
      <c r="FK19" s="56"/>
      <c r="FL19" s="56"/>
      <c r="FM19" s="56"/>
      <c r="FN19" s="56"/>
      <c r="FO19" s="56"/>
    </row>
    <row r="20" spans="1:171" ht="12" customHeight="1" x14ac:dyDescent="0.25">
      <c r="A20" s="25">
        <v>19</v>
      </c>
      <c r="B20" s="27" t="s">
        <v>61</v>
      </c>
      <c r="C20" s="10">
        <v>4</v>
      </c>
      <c r="D20" s="10">
        <v>20</v>
      </c>
      <c r="E20" s="10">
        <v>16</v>
      </c>
      <c r="F20" s="10">
        <v>32</v>
      </c>
      <c r="G20" s="10"/>
      <c r="H20" s="10"/>
      <c r="I20" s="10"/>
      <c r="J20" s="10"/>
      <c r="K20" s="10"/>
      <c r="L20" s="10"/>
      <c r="M20" s="10"/>
      <c r="N20" s="10"/>
      <c r="O20" s="10"/>
      <c r="P20" s="10">
        <v>4</v>
      </c>
      <c r="Q20" s="10">
        <v>3</v>
      </c>
      <c r="R20" s="10">
        <v>19</v>
      </c>
      <c r="S20" s="10">
        <v>41</v>
      </c>
      <c r="T20" s="16"/>
      <c r="U20" s="10"/>
      <c r="V20" s="10"/>
      <c r="W20" s="10"/>
      <c r="X20" s="10"/>
      <c r="Y20" s="10"/>
      <c r="Z20" s="10"/>
      <c r="AA20" s="10"/>
      <c r="AB20" s="10"/>
      <c r="AC20" s="10">
        <v>5</v>
      </c>
      <c r="AD20" s="10">
        <v>14</v>
      </c>
      <c r="AE20" s="10">
        <v>0</v>
      </c>
      <c r="AF20" s="10">
        <v>52</v>
      </c>
      <c r="AG20" s="10"/>
      <c r="AH20" s="10"/>
      <c r="AI20" s="10"/>
      <c r="AJ20" s="10"/>
      <c r="AK20" s="10"/>
      <c r="AL20" s="10"/>
      <c r="AM20" s="10"/>
      <c r="AN20" s="10"/>
      <c r="AO20" s="10"/>
      <c r="AP20" s="10">
        <v>6</v>
      </c>
      <c r="AQ20" s="10">
        <v>6</v>
      </c>
      <c r="AR20" s="10"/>
      <c r="AS20" s="10"/>
      <c r="AT20" s="10"/>
      <c r="AU20" s="10"/>
      <c r="AV20" s="10"/>
      <c r="AW20" s="10"/>
      <c r="AX20" s="10"/>
      <c r="AY20" s="10"/>
      <c r="AZ20" s="10"/>
      <c r="BA20" s="10"/>
      <c r="BB20" s="10"/>
      <c r="BC20" s="10">
        <v>12</v>
      </c>
      <c r="BD20" s="10">
        <v>12</v>
      </c>
      <c r="BE20" s="10"/>
      <c r="BF20" s="10"/>
      <c r="BG20" s="10"/>
      <c r="BH20" s="10"/>
      <c r="BI20" s="10"/>
      <c r="BJ20" s="10"/>
      <c r="BK20" s="10"/>
      <c r="BL20" s="10"/>
      <c r="BM20" s="10"/>
      <c r="BN20" s="10"/>
      <c r="BO20" s="10"/>
      <c r="BP20" s="10">
        <v>9</v>
      </c>
      <c r="BQ20" s="10">
        <v>9</v>
      </c>
      <c r="BR20" s="10"/>
      <c r="BS20" s="10"/>
      <c r="BT20" s="10"/>
      <c r="BU20" s="10"/>
      <c r="BV20" s="10"/>
      <c r="BW20" s="10"/>
      <c r="BX20" s="10"/>
      <c r="BY20" s="10"/>
      <c r="BZ20" s="10"/>
      <c r="CA20" s="10"/>
      <c r="CB20" s="10"/>
      <c r="CC20" s="10">
        <v>13</v>
      </c>
      <c r="CD20" s="10">
        <v>12</v>
      </c>
      <c r="CE20" s="10"/>
      <c r="CF20" s="10"/>
      <c r="CG20" s="10"/>
      <c r="CH20" s="10"/>
      <c r="CI20" s="10"/>
      <c r="CJ20" s="10"/>
      <c r="CK20" s="10"/>
      <c r="CL20" s="10"/>
      <c r="CM20" s="10"/>
      <c r="CN20" s="10"/>
      <c r="CO20" s="10"/>
      <c r="CP20" s="10">
        <v>8</v>
      </c>
      <c r="CQ20" s="10">
        <v>7</v>
      </c>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56">
        <v>75</v>
      </c>
      <c r="FD20" s="56">
        <v>150</v>
      </c>
      <c r="FE20" s="56">
        <v>75</v>
      </c>
      <c r="FF20" s="56">
        <v>500</v>
      </c>
      <c r="FG20" s="56"/>
      <c r="FH20" s="56"/>
      <c r="FI20" s="56"/>
      <c r="FJ20" s="56"/>
      <c r="FK20" s="56"/>
      <c r="FL20" s="56"/>
      <c r="FM20" s="56"/>
      <c r="FN20" s="56"/>
      <c r="FO20" s="56"/>
    </row>
    <row r="21" spans="1:171" x14ac:dyDescent="0.25">
      <c r="A21" s="25">
        <v>20</v>
      </c>
      <c r="B21" s="27" t="s">
        <v>233</v>
      </c>
      <c r="C21" s="10">
        <v>26358</v>
      </c>
      <c r="D21" s="10">
        <v>3591</v>
      </c>
      <c r="E21" s="10">
        <v>1511</v>
      </c>
      <c r="F21" s="10">
        <v>2.38</v>
      </c>
      <c r="G21" s="10">
        <v>0.13600000000000001</v>
      </c>
      <c r="H21" s="10">
        <v>36.36</v>
      </c>
      <c r="I21" s="10">
        <v>4.95</v>
      </c>
      <c r="J21" s="10"/>
      <c r="K21" s="10"/>
      <c r="L21" s="10"/>
      <c r="M21" s="10"/>
      <c r="N21" s="10"/>
      <c r="O21" s="10"/>
      <c r="P21" s="10">
        <v>29127</v>
      </c>
      <c r="Q21" s="10">
        <v>4249</v>
      </c>
      <c r="R21" s="10">
        <v>1725</v>
      </c>
      <c r="S21" s="10">
        <v>2.46</v>
      </c>
      <c r="T21" s="16">
        <v>0.14599999999999999</v>
      </c>
      <c r="U21" s="10">
        <v>17.579999999999998</v>
      </c>
      <c r="V21" s="10">
        <v>2.56</v>
      </c>
      <c r="W21" s="10"/>
      <c r="X21" s="10"/>
      <c r="Y21" s="10"/>
      <c r="Z21" s="10"/>
      <c r="AA21" s="10"/>
      <c r="AB21" s="10"/>
      <c r="AC21" s="10">
        <v>22487</v>
      </c>
      <c r="AD21" s="10">
        <v>3599</v>
      </c>
      <c r="AE21" s="10">
        <v>1351</v>
      </c>
      <c r="AF21" s="10">
        <v>2.66</v>
      </c>
      <c r="AG21" s="10">
        <v>0.16</v>
      </c>
      <c r="AH21" s="10">
        <v>18.55</v>
      </c>
      <c r="AI21" s="10">
        <v>2.97</v>
      </c>
      <c r="AJ21" s="10"/>
      <c r="AK21" s="10"/>
      <c r="AL21" s="10"/>
      <c r="AM21" s="10"/>
      <c r="AN21" s="10"/>
      <c r="AO21" s="10"/>
      <c r="AP21" s="10">
        <v>29915</v>
      </c>
      <c r="AQ21" s="10">
        <v>4915</v>
      </c>
      <c r="AR21" s="10">
        <v>1717</v>
      </c>
      <c r="AS21" s="10">
        <v>2.86</v>
      </c>
      <c r="AT21" s="10">
        <v>0.16</v>
      </c>
      <c r="AU21" s="10">
        <v>17.82</v>
      </c>
      <c r="AV21" s="10">
        <v>2.93</v>
      </c>
      <c r="AW21" s="10"/>
      <c r="AX21" s="10"/>
      <c r="AY21" s="10"/>
      <c r="AZ21" s="10"/>
      <c r="BA21" s="10"/>
      <c r="BB21" s="10"/>
      <c r="BC21" s="10">
        <v>25228</v>
      </c>
      <c r="BD21" s="10">
        <v>4341</v>
      </c>
      <c r="BE21" s="10">
        <v>1485.8</v>
      </c>
      <c r="BF21" s="10">
        <v>2.92</v>
      </c>
      <c r="BG21" s="10">
        <v>0.17199999999999999</v>
      </c>
      <c r="BH21" s="10">
        <v>24.61</v>
      </c>
      <c r="BI21" s="10">
        <v>4.2300000000000004</v>
      </c>
      <c r="BJ21" s="10"/>
      <c r="BK21" s="10"/>
      <c r="BL21" s="10"/>
      <c r="BM21" s="10"/>
      <c r="BN21" s="10"/>
      <c r="BO21" s="10"/>
      <c r="BP21" s="10">
        <v>21383</v>
      </c>
      <c r="BQ21" s="10">
        <v>3493</v>
      </c>
      <c r="BR21" s="10">
        <v>1291.8</v>
      </c>
      <c r="BS21" s="10">
        <v>2.7</v>
      </c>
      <c r="BT21" s="10">
        <v>0.16300000000000001</v>
      </c>
      <c r="BU21" s="10">
        <v>25.56</v>
      </c>
      <c r="BV21" s="10">
        <v>4.17</v>
      </c>
      <c r="BW21" s="10"/>
      <c r="BX21" s="10"/>
      <c r="BY21" s="10"/>
      <c r="BZ21" s="10"/>
      <c r="CA21" s="10"/>
      <c r="CB21" s="10"/>
      <c r="CC21" s="10">
        <v>27583</v>
      </c>
      <c r="CD21" s="10">
        <v>4583</v>
      </c>
      <c r="CE21" s="10">
        <v>1663</v>
      </c>
      <c r="CF21" s="10">
        <v>2.76</v>
      </c>
      <c r="CG21" s="10">
        <v>0.16500000000000001</v>
      </c>
      <c r="CH21" s="10">
        <v>16.61</v>
      </c>
      <c r="CI21" s="10">
        <v>2.73</v>
      </c>
      <c r="CJ21" s="10"/>
      <c r="CK21" s="10"/>
      <c r="CL21" s="10"/>
      <c r="CM21" s="10"/>
      <c r="CN21" s="10"/>
      <c r="CO21" s="10"/>
      <c r="CP21" s="10">
        <v>26035</v>
      </c>
      <c r="CQ21" s="10">
        <v>4250</v>
      </c>
      <c r="CR21" s="10">
        <v>1546</v>
      </c>
      <c r="CS21" s="10">
        <v>2.75</v>
      </c>
      <c r="CT21" s="10">
        <v>0.16</v>
      </c>
      <c r="CU21" s="10">
        <v>16.010000000000002</v>
      </c>
      <c r="CV21" s="10">
        <v>2.61</v>
      </c>
      <c r="CW21" s="10"/>
      <c r="CX21" s="10"/>
      <c r="CY21" s="10"/>
      <c r="CZ21" s="10"/>
      <c r="DA21" s="10"/>
      <c r="DB21" s="10"/>
      <c r="DC21" s="10"/>
      <c r="DD21" s="10"/>
      <c r="DE21" s="10"/>
      <c r="DF21" s="10"/>
      <c r="DG21" s="10"/>
      <c r="DH21" s="10"/>
      <c r="DI21" s="18"/>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56">
        <v>315500</v>
      </c>
      <c r="FD21" s="56">
        <v>48000</v>
      </c>
      <c r="FE21" s="56">
        <v>17500</v>
      </c>
      <c r="FF21" s="56">
        <v>2.6</v>
      </c>
      <c r="FG21" s="56">
        <v>0.15</v>
      </c>
      <c r="FH21" s="56">
        <v>20</v>
      </c>
      <c r="FI21" s="56">
        <v>3.1</v>
      </c>
      <c r="FJ21" s="56"/>
      <c r="FK21" s="56"/>
      <c r="FL21" s="56"/>
      <c r="FM21" s="56"/>
      <c r="FN21" s="56"/>
      <c r="FO21" s="56"/>
    </row>
    <row r="22" spans="1:171" x14ac:dyDescent="0.25">
      <c r="A22" s="25">
        <v>21</v>
      </c>
      <c r="B22" s="27" t="s">
        <v>10</v>
      </c>
      <c r="C22" s="10">
        <v>556</v>
      </c>
      <c r="D22" s="10">
        <v>20</v>
      </c>
      <c r="E22" s="10">
        <v>54</v>
      </c>
      <c r="F22" s="10">
        <v>5</v>
      </c>
      <c r="G22" s="10">
        <v>32.5</v>
      </c>
      <c r="H22" s="10">
        <v>652</v>
      </c>
      <c r="I22" s="10">
        <v>147</v>
      </c>
      <c r="J22" s="10">
        <v>77</v>
      </c>
      <c r="K22" s="10">
        <v>21</v>
      </c>
      <c r="L22" s="10">
        <v>17.899999999999999</v>
      </c>
      <c r="M22" s="10"/>
      <c r="N22" s="10"/>
      <c r="O22" s="10"/>
      <c r="P22" s="10">
        <v>592</v>
      </c>
      <c r="Q22" s="10">
        <v>13</v>
      </c>
      <c r="R22" s="10">
        <v>64</v>
      </c>
      <c r="S22" s="10">
        <v>2</v>
      </c>
      <c r="T22" s="16">
        <v>28.6</v>
      </c>
      <c r="U22" s="10">
        <v>652</v>
      </c>
      <c r="V22" s="10">
        <v>125</v>
      </c>
      <c r="W22" s="10">
        <v>111</v>
      </c>
      <c r="X22" s="10">
        <v>23</v>
      </c>
      <c r="Y22" s="10">
        <v>19.100000000000001</v>
      </c>
      <c r="Z22" s="10"/>
      <c r="AA22" s="10"/>
      <c r="AB22" s="10"/>
      <c r="AC22" s="10">
        <v>489</v>
      </c>
      <c r="AD22" s="10">
        <v>19</v>
      </c>
      <c r="AE22" s="10">
        <v>70</v>
      </c>
      <c r="AF22" s="10">
        <v>3</v>
      </c>
      <c r="AG22" s="10">
        <v>26.4</v>
      </c>
      <c r="AH22" s="10">
        <v>645</v>
      </c>
      <c r="AI22" s="10">
        <v>108</v>
      </c>
      <c r="AJ22" s="10">
        <v>78</v>
      </c>
      <c r="AK22" s="10">
        <v>18</v>
      </c>
      <c r="AL22" s="10">
        <v>16.3</v>
      </c>
      <c r="AM22" s="10"/>
      <c r="AN22" s="10"/>
      <c r="AO22" s="10"/>
      <c r="AP22" s="10">
        <v>541</v>
      </c>
      <c r="AQ22" s="10">
        <v>28</v>
      </c>
      <c r="AR22" s="10">
        <v>68</v>
      </c>
      <c r="AS22" s="10">
        <v>2</v>
      </c>
      <c r="AT22" s="10">
        <v>27.4</v>
      </c>
      <c r="AU22" s="10">
        <v>645</v>
      </c>
      <c r="AV22" s="10">
        <v>103</v>
      </c>
      <c r="AW22" s="10">
        <v>105</v>
      </c>
      <c r="AX22" s="10">
        <v>23</v>
      </c>
      <c r="AY22" s="10">
        <v>17.5</v>
      </c>
      <c r="AZ22" s="10"/>
      <c r="BA22" s="10"/>
      <c r="BB22" s="10"/>
      <c r="BC22" s="10">
        <v>480</v>
      </c>
      <c r="BD22" s="10">
        <v>21</v>
      </c>
      <c r="BE22" s="10">
        <v>55</v>
      </c>
      <c r="BF22" s="10">
        <v>0</v>
      </c>
      <c r="BG22" s="10">
        <v>26.5</v>
      </c>
      <c r="BH22" s="10">
        <v>383</v>
      </c>
      <c r="BI22" s="10">
        <v>167</v>
      </c>
      <c r="BJ22" s="10">
        <v>110</v>
      </c>
      <c r="BK22" s="10">
        <v>19</v>
      </c>
      <c r="BL22" s="10">
        <v>16</v>
      </c>
      <c r="BM22" s="10"/>
      <c r="BN22" s="10"/>
      <c r="BO22" s="10"/>
      <c r="BP22" s="10">
        <v>578</v>
      </c>
      <c r="BQ22" s="10">
        <v>16</v>
      </c>
      <c r="BR22" s="10">
        <v>42</v>
      </c>
      <c r="BS22" s="10">
        <v>0</v>
      </c>
      <c r="BT22" s="10">
        <v>28</v>
      </c>
      <c r="BU22" s="10">
        <v>438</v>
      </c>
      <c r="BV22" s="10">
        <v>126</v>
      </c>
      <c r="BW22" s="10">
        <v>125</v>
      </c>
      <c r="BX22" s="10">
        <v>18</v>
      </c>
      <c r="BY22" s="10">
        <v>18.600000000000001</v>
      </c>
      <c r="BZ22" s="10"/>
      <c r="CA22" s="10"/>
      <c r="CB22" s="10"/>
      <c r="CC22" s="10">
        <v>468</v>
      </c>
      <c r="CD22" s="10">
        <v>16</v>
      </c>
      <c r="CE22" s="10">
        <v>40</v>
      </c>
      <c r="CF22" s="10">
        <v>17</v>
      </c>
      <c r="CG22" s="10">
        <v>27.2</v>
      </c>
      <c r="CH22" s="10">
        <v>342</v>
      </c>
      <c r="CI22" s="10">
        <v>113</v>
      </c>
      <c r="CJ22" s="10">
        <v>160</v>
      </c>
      <c r="CK22" s="10">
        <v>21</v>
      </c>
      <c r="CL22" s="10">
        <v>15.1</v>
      </c>
      <c r="CM22" s="10"/>
      <c r="CN22" s="10"/>
      <c r="CO22" s="10"/>
      <c r="CP22" s="10">
        <v>449</v>
      </c>
      <c r="CQ22" s="10">
        <v>11</v>
      </c>
      <c r="CR22" s="10">
        <v>35</v>
      </c>
      <c r="CS22" s="10">
        <v>17</v>
      </c>
      <c r="CT22" s="10">
        <v>25.8</v>
      </c>
      <c r="CU22" s="10">
        <v>321</v>
      </c>
      <c r="CV22" s="10">
        <v>123</v>
      </c>
      <c r="CW22" s="10">
        <v>209</v>
      </c>
      <c r="CX22" s="10">
        <v>20</v>
      </c>
      <c r="CY22" s="10">
        <v>16</v>
      </c>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56">
        <v>6540</v>
      </c>
      <c r="FD22" s="56">
        <v>175</v>
      </c>
      <c r="FE22" s="56">
        <v>725</v>
      </c>
      <c r="FF22" s="56">
        <v>70</v>
      </c>
      <c r="FG22" s="56">
        <v>60</v>
      </c>
      <c r="FH22" s="56">
        <v>7380</v>
      </c>
      <c r="FI22" s="56">
        <v>2475</v>
      </c>
      <c r="FJ22" s="56">
        <v>875</v>
      </c>
      <c r="FK22" s="56">
        <v>20</v>
      </c>
      <c r="FL22" s="56">
        <v>18</v>
      </c>
      <c r="FM22" s="56"/>
      <c r="FN22" s="56"/>
      <c r="FO22" s="56"/>
    </row>
    <row r="23" spans="1:171" x14ac:dyDescent="0.25">
      <c r="A23" s="25">
        <v>22</v>
      </c>
      <c r="B23" s="27" t="s">
        <v>229</v>
      </c>
      <c r="C23" s="10">
        <v>133</v>
      </c>
      <c r="D23" s="10">
        <v>120</v>
      </c>
      <c r="E23" s="10">
        <v>82</v>
      </c>
      <c r="F23" s="10">
        <v>970</v>
      </c>
      <c r="G23" s="10">
        <v>106</v>
      </c>
      <c r="H23" s="10">
        <v>4.45</v>
      </c>
      <c r="I23" s="10">
        <v>1543</v>
      </c>
      <c r="J23" s="10">
        <v>73</v>
      </c>
      <c r="K23" s="10">
        <v>19.239999999999998</v>
      </c>
      <c r="L23" s="10"/>
      <c r="M23" s="10"/>
      <c r="N23" s="10"/>
      <c r="O23" s="10"/>
      <c r="P23" s="10">
        <v>258</v>
      </c>
      <c r="Q23" s="10">
        <v>106</v>
      </c>
      <c r="R23" s="10">
        <v>81</v>
      </c>
      <c r="S23" s="10">
        <v>1137</v>
      </c>
      <c r="T23" s="16">
        <v>104</v>
      </c>
      <c r="U23" s="10">
        <v>4.45</v>
      </c>
      <c r="V23" s="10">
        <v>1845</v>
      </c>
      <c r="W23" s="10">
        <v>80</v>
      </c>
      <c r="X23" s="10">
        <v>17.559999999999999</v>
      </c>
      <c r="Y23" s="10"/>
      <c r="Z23" s="10"/>
      <c r="AA23" s="10"/>
      <c r="AB23" s="10"/>
      <c r="AC23" s="10">
        <v>233</v>
      </c>
      <c r="AD23" s="10">
        <v>106</v>
      </c>
      <c r="AE23" s="10">
        <v>55</v>
      </c>
      <c r="AF23" s="10">
        <v>580</v>
      </c>
      <c r="AG23" s="10">
        <v>52</v>
      </c>
      <c r="AH23" s="10">
        <v>4.45</v>
      </c>
      <c r="AI23" s="10">
        <v>1647</v>
      </c>
      <c r="AJ23" s="10">
        <v>92</v>
      </c>
      <c r="AK23" s="10">
        <v>15.27</v>
      </c>
      <c r="AL23" s="10"/>
      <c r="AM23" s="10"/>
      <c r="AN23" s="10"/>
      <c r="AO23" s="10"/>
      <c r="AP23" s="10">
        <v>234</v>
      </c>
      <c r="AQ23" s="10">
        <v>103</v>
      </c>
      <c r="AR23" s="10">
        <v>102</v>
      </c>
      <c r="AS23" s="10">
        <v>1265</v>
      </c>
      <c r="AT23" s="10">
        <v>81</v>
      </c>
      <c r="AU23" s="10">
        <v>4.45</v>
      </c>
      <c r="AV23" s="10">
        <v>2041</v>
      </c>
      <c r="AW23" s="10">
        <v>89</v>
      </c>
      <c r="AX23" s="10">
        <v>15.78</v>
      </c>
      <c r="AY23" s="10">
        <v>224</v>
      </c>
      <c r="AZ23" s="10">
        <v>19</v>
      </c>
      <c r="BA23" s="10">
        <v>17.809999999999999</v>
      </c>
      <c r="BB23" s="10"/>
      <c r="BC23" s="10">
        <v>228</v>
      </c>
      <c r="BD23" s="10">
        <v>101</v>
      </c>
      <c r="BE23" s="10">
        <v>385</v>
      </c>
      <c r="BF23" s="10">
        <v>579</v>
      </c>
      <c r="BG23" s="10">
        <v>55</v>
      </c>
      <c r="BH23" s="10">
        <v>4.45</v>
      </c>
      <c r="BI23" s="10">
        <v>1714</v>
      </c>
      <c r="BJ23" s="10">
        <v>90</v>
      </c>
      <c r="BK23" s="10">
        <v>17.25</v>
      </c>
      <c r="BL23" s="10">
        <v>468</v>
      </c>
      <c r="BM23" s="10">
        <v>25</v>
      </c>
      <c r="BN23" s="10">
        <v>7.96</v>
      </c>
      <c r="BP23" s="10">
        <v>235</v>
      </c>
      <c r="BQ23" s="10">
        <v>100</v>
      </c>
      <c r="BR23" s="10">
        <v>46</v>
      </c>
      <c r="BS23" s="10">
        <v>496</v>
      </c>
      <c r="BT23" s="10">
        <v>52</v>
      </c>
      <c r="BU23" s="10">
        <v>4.45</v>
      </c>
      <c r="BV23" s="10">
        <v>1521</v>
      </c>
      <c r="BW23" s="10">
        <v>85</v>
      </c>
      <c r="BX23" s="10">
        <v>19.28</v>
      </c>
      <c r="BY23" s="10">
        <v>305</v>
      </c>
      <c r="BZ23" s="10">
        <v>17</v>
      </c>
      <c r="CA23" s="10">
        <v>11.98</v>
      </c>
      <c r="CB23" s="10"/>
      <c r="CC23" s="10">
        <v>222</v>
      </c>
      <c r="CD23" s="10">
        <v>106</v>
      </c>
      <c r="CE23" s="10">
        <v>77</v>
      </c>
      <c r="CF23" s="10">
        <v>590</v>
      </c>
      <c r="CG23" s="10">
        <v>55</v>
      </c>
      <c r="CH23" s="10">
        <v>4.45</v>
      </c>
      <c r="CI23" s="10">
        <v>2014</v>
      </c>
      <c r="CJ23" s="10">
        <v>96</v>
      </c>
      <c r="CK23" s="10">
        <v>17.07</v>
      </c>
      <c r="CL23" s="10">
        <v>564</v>
      </c>
      <c r="CM23" s="10">
        <v>27</v>
      </c>
      <c r="CN23" s="10">
        <v>7.41</v>
      </c>
      <c r="CO23" s="10"/>
      <c r="CP23" s="10">
        <v>225</v>
      </c>
      <c r="CQ23" s="10">
        <v>111</v>
      </c>
      <c r="CR23" s="10">
        <v>75</v>
      </c>
      <c r="CS23" s="10">
        <v>508</v>
      </c>
      <c r="CT23" s="10">
        <v>44</v>
      </c>
      <c r="CU23" s="10">
        <v>4.45</v>
      </c>
      <c r="CV23" s="10">
        <v>2419</v>
      </c>
      <c r="CW23" s="10">
        <v>121</v>
      </c>
      <c r="CX23" s="10">
        <v>13.54</v>
      </c>
      <c r="CY23" s="10">
        <v>473</v>
      </c>
      <c r="CZ23" s="10">
        <v>24</v>
      </c>
      <c r="DA23" s="10">
        <v>8.33</v>
      </c>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56">
        <v>3550</v>
      </c>
      <c r="FD23" s="56">
        <v>1400</v>
      </c>
      <c r="FE23" s="56">
        <v>1050</v>
      </c>
      <c r="FF23" s="56">
        <v>9100</v>
      </c>
      <c r="FG23" s="56"/>
      <c r="FH23" s="56">
        <v>4.45</v>
      </c>
      <c r="FI23" s="56">
        <v>22600</v>
      </c>
      <c r="FJ23" s="56">
        <v>94</v>
      </c>
      <c r="FK23" s="56">
        <v>14.25</v>
      </c>
      <c r="FL23" s="56">
        <v>4500</v>
      </c>
      <c r="FM23" s="56">
        <v>25</v>
      </c>
      <c r="FN23" s="56">
        <v>10</v>
      </c>
      <c r="FO23" s="56"/>
    </row>
    <row r="24" spans="1:171" x14ac:dyDescent="0.25">
      <c r="A24" s="25">
        <v>23</v>
      </c>
      <c r="B24" s="27" t="s">
        <v>11</v>
      </c>
      <c r="C24" s="10">
        <v>49</v>
      </c>
      <c r="D24" s="10">
        <v>70.69</v>
      </c>
      <c r="E24" s="10">
        <v>12</v>
      </c>
      <c r="F24" s="10">
        <v>0</v>
      </c>
      <c r="G24" s="10">
        <v>3036</v>
      </c>
      <c r="H24" s="10">
        <v>145</v>
      </c>
      <c r="I24" s="10">
        <v>100</v>
      </c>
      <c r="J24" s="10">
        <v>95.87</v>
      </c>
      <c r="K24" s="10">
        <v>95</v>
      </c>
      <c r="L24" s="10">
        <v>95</v>
      </c>
      <c r="M24" s="10">
        <v>165</v>
      </c>
      <c r="N24" s="10"/>
      <c r="O24" s="10"/>
      <c r="P24" s="10">
        <v>73</v>
      </c>
      <c r="Q24" s="10">
        <v>73.27</v>
      </c>
      <c r="R24" s="10">
        <v>5</v>
      </c>
      <c r="S24" s="10">
        <v>50</v>
      </c>
      <c r="T24" s="16">
        <v>2772</v>
      </c>
      <c r="U24" s="10">
        <v>121</v>
      </c>
      <c r="V24" s="10">
        <v>100</v>
      </c>
      <c r="W24" s="10">
        <v>92.12</v>
      </c>
      <c r="X24" s="10">
        <v>99</v>
      </c>
      <c r="Y24" s="10">
        <v>100</v>
      </c>
      <c r="Z24" s="10">
        <v>168</v>
      </c>
      <c r="AA24" s="10" t="s">
        <v>499</v>
      </c>
      <c r="AB24" s="10"/>
      <c r="AC24" s="10">
        <v>53</v>
      </c>
      <c r="AD24" s="10">
        <v>73.010000000000005</v>
      </c>
      <c r="AE24" s="10">
        <v>0</v>
      </c>
      <c r="AF24" s="10">
        <v>40</v>
      </c>
      <c r="AG24" s="10">
        <v>2191</v>
      </c>
      <c r="AH24" s="10">
        <v>122</v>
      </c>
      <c r="AI24" s="10">
        <v>100</v>
      </c>
      <c r="AJ24" s="10">
        <v>97.3</v>
      </c>
      <c r="AK24" s="10">
        <v>99</v>
      </c>
      <c r="AL24" s="10">
        <v>100</v>
      </c>
      <c r="AM24" s="10">
        <v>176</v>
      </c>
      <c r="AN24" s="10"/>
      <c r="AO24" s="10"/>
      <c r="AP24" s="10">
        <v>103</v>
      </c>
      <c r="AQ24" s="10">
        <v>72.11</v>
      </c>
      <c r="AR24" s="10">
        <v>20</v>
      </c>
      <c r="AS24" s="10">
        <v>25</v>
      </c>
      <c r="AT24" s="10">
        <v>2606</v>
      </c>
      <c r="AU24" s="10">
        <v>113</v>
      </c>
      <c r="AV24" s="10">
        <v>100</v>
      </c>
      <c r="AW24" s="10">
        <v>94.79</v>
      </c>
      <c r="AX24" s="10">
        <v>96</v>
      </c>
      <c r="AY24" s="10">
        <v>98</v>
      </c>
      <c r="AZ24" s="10">
        <v>169</v>
      </c>
      <c r="BA24" s="10"/>
      <c r="BB24" s="10"/>
      <c r="BC24" s="10">
        <v>77</v>
      </c>
      <c r="BD24" s="10">
        <v>72.37</v>
      </c>
      <c r="BE24" s="10">
        <v>0</v>
      </c>
      <c r="BF24" s="10">
        <v>40</v>
      </c>
      <c r="BG24" s="10">
        <v>2451</v>
      </c>
      <c r="BH24" s="10">
        <v>129</v>
      </c>
      <c r="BI24" s="10">
        <v>100</v>
      </c>
      <c r="BJ24" s="10">
        <v>94.5</v>
      </c>
      <c r="BK24" s="10">
        <v>96</v>
      </c>
      <c r="BL24" s="10">
        <v>98</v>
      </c>
      <c r="BM24" s="10">
        <v>181</v>
      </c>
      <c r="BP24" s="10">
        <v>70</v>
      </c>
      <c r="BQ24" s="10">
        <v>72.39</v>
      </c>
      <c r="BR24" s="10">
        <v>0</v>
      </c>
      <c r="BS24" s="10">
        <v>0</v>
      </c>
      <c r="BT24" s="10">
        <v>2458</v>
      </c>
      <c r="BU24" s="10">
        <v>137</v>
      </c>
      <c r="BV24" s="10">
        <v>100</v>
      </c>
      <c r="BW24" s="10">
        <v>95.13</v>
      </c>
      <c r="BX24" s="10">
        <v>98</v>
      </c>
      <c r="BY24" s="10">
        <v>96</v>
      </c>
      <c r="BZ24" s="10">
        <v>152</v>
      </c>
      <c r="CA24" s="10"/>
      <c r="CB24" s="10"/>
      <c r="CC24" s="10">
        <v>80</v>
      </c>
      <c r="CD24" s="10">
        <v>72.25</v>
      </c>
      <c r="CE24" s="10">
        <v>25</v>
      </c>
      <c r="CF24" s="10">
        <v>0</v>
      </c>
      <c r="CG24" s="10">
        <v>3871</v>
      </c>
      <c r="CH24" s="10">
        <v>184</v>
      </c>
      <c r="CI24" s="10">
        <v>100</v>
      </c>
      <c r="CJ24" s="10">
        <v>92.8</v>
      </c>
      <c r="CK24" s="10">
        <v>96</v>
      </c>
      <c r="CL24" s="10">
        <v>100</v>
      </c>
      <c r="CM24" s="10">
        <v>143</v>
      </c>
      <c r="CN24" s="10"/>
      <c r="CO24" s="10"/>
      <c r="CP24" s="10">
        <v>67</v>
      </c>
      <c r="CQ24" s="10">
        <v>72.150000000000006</v>
      </c>
      <c r="CR24" s="10">
        <v>25</v>
      </c>
      <c r="CS24" s="10">
        <v>0</v>
      </c>
      <c r="CT24" s="10">
        <v>2429</v>
      </c>
      <c r="CU24" s="10">
        <v>121</v>
      </c>
      <c r="CV24" s="10">
        <v>100</v>
      </c>
      <c r="CW24" s="10">
        <v>94.52</v>
      </c>
      <c r="CX24" s="10">
        <v>95</v>
      </c>
      <c r="CY24" s="10">
        <v>100</v>
      </c>
      <c r="CZ24" s="10">
        <v>159</v>
      </c>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56">
        <v>500</v>
      </c>
      <c r="FD24" s="56">
        <v>70.5</v>
      </c>
      <c r="FE24" s="56">
        <v>5</v>
      </c>
      <c r="FF24" s="56">
        <v>35</v>
      </c>
      <c r="FG24" s="56">
        <v>42000</v>
      </c>
      <c r="FH24" s="56">
        <v>177</v>
      </c>
      <c r="FI24" s="56">
        <v>97</v>
      </c>
      <c r="FJ24" s="56">
        <v>95</v>
      </c>
      <c r="FK24" s="56">
        <v>95</v>
      </c>
      <c r="FL24" s="56">
        <v>95</v>
      </c>
      <c r="FM24" s="56">
        <v>150</v>
      </c>
      <c r="FN24" s="56"/>
      <c r="FO24" s="56"/>
    </row>
    <row r="25" spans="1:171" x14ac:dyDescent="0.25">
      <c r="A25" s="25">
        <v>24</v>
      </c>
      <c r="B25" s="27" t="s">
        <v>12</v>
      </c>
      <c r="C25" s="10">
        <v>0</v>
      </c>
      <c r="D25" s="10">
        <v>27</v>
      </c>
      <c r="E25" s="10">
        <v>0</v>
      </c>
      <c r="F25" s="10">
        <v>84.7</v>
      </c>
      <c r="G25" s="10">
        <v>0.09</v>
      </c>
      <c r="H25" s="10">
        <v>0</v>
      </c>
      <c r="I25" s="10">
        <v>5</v>
      </c>
      <c r="J25" s="10"/>
      <c r="K25" s="10"/>
      <c r="L25" s="10"/>
      <c r="M25" s="10"/>
      <c r="N25" s="10"/>
      <c r="O25" s="10"/>
      <c r="P25" s="10">
        <v>0</v>
      </c>
      <c r="Q25" s="10">
        <v>49</v>
      </c>
      <c r="R25" s="10">
        <v>0</v>
      </c>
      <c r="S25" s="10">
        <v>84.7</v>
      </c>
      <c r="T25" s="16">
        <v>0.18099999999999999</v>
      </c>
      <c r="U25" s="10">
        <v>0</v>
      </c>
      <c r="V25" s="10">
        <v>6</v>
      </c>
      <c r="W25" s="10"/>
      <c r="X25" s="10"/>
      <c r="Y25" s="10"/>
      <c r="Z25" s="10"/>
      <c r="AA25" s="10"/>
      <c r="AB25" s="10"/>
      <c r="AC25" s="10">
        <v>0</v>
      </c>
      <c r="AD25" s="10">
        <v>33</v>
      </c>
      <c r="AE25" s="10">
        <v>0</v>
      </c>
      <c r="AF25" s="10">
        <v>84.7</v>
      </c>
      <c r="AG25" s="10">
        <v>0.66</v>
      </c>
      <c r="AH25" s="10">
        <v>0</v>
      </c>
      <c r="AI25" s="10">
        <v>11</v>
      </c>
      <c r="AJ25" s="10"/>
      <c r="AK25" s="10"/>
      <c r="AL25" s="10"/>
      <c r="AM25" s="10"/>
      <c r="AN25" s="10"/>
      <c r="AO25" s="10"/>
      <c r="AP25" s="10">
        <v>0</v>
      </c>
      <c r="AQ25" s="10">
        <v>39</v>
      </c>
      <c r="AR25" s="10">
        <v>0</v>
      </c>
      <c r="AS25" s="10">
        <v>84.7</v>
      </c>
      <c r="AT25" s="10">
        <v>1.38</v>
      </c>
      <c r="AU25" s="10">
        <v>0</v>
      </c>
      <c r="AV25" s="10">
        <v>11</v>
      </c>
      <c r="AW25" s="10"/>
      <c r="AX25" s="10"/>
      <c r="AY25" s="10"/>
      <c r="AZ25" s="10"/>
      <c r="BA25" s="10"/>
      <c r="BB25" s="10"/>
      <c r="BC25" s="10">
        <v>0</v>
      </c>
      <c r="BD25" s="10">
        <v>30</v>
      </c>
      <c r="BE25" s="10">
        <v>0</v>
      </c>
      <c r="BF25" s="10">
        <v>84.7</v>
      </c>
      <c r="BG25" s="10">
        <v>0.28999999999999998</v>
      </c>
      <c r="BH25" s="10">
        <v>0</v>
      </c>
      <c r="BI25" s="10">
        <v>8</v>
      </c>
      <c r="BJ25" s="10"/>
      <c r="BK25" s="10"/>
      <c r="BL25" s="10"/>
      <c r="BM25" s="10"/>
      <c r="BN25" s="10"/>
      <c r="BO25" s="10"/>
      <c r="BP25" s="10">
        <v>0</v>
      </c>
      <c r="BQ25" s="10">
        <v>31</v>
      </c>
      <c r="BR25" s="10">
        <v>0</v>
      </c>
      <c r="BS25" s="10">
        <v>82.3</v>
      </c>
      <c r="BT25" s="38">
        <v>0.59</v>
      </c>
      <c r="BU25" s="10">
        <v>0</v>
      </c>
      <c r="BV25" s="10">
        <v>8</v>
      </c>
      <c r="BW25" s="10"/>
      <c r="BX25" s="10"/>
      <c r="BY25" s="10"/>
      <c r="BZ25" s="10"/>
      <c r="CA25" s="10"/>
      <c r="CB25" s="10"/>
      <c r="CC25" s="10">
        <v>0</v>
      </c>
      <c r="CD25" s="10">
        <v>30</v>
      </c>
      <c r="CE25" s="10">
        <v>0</v>
      </c>
      <c r="CF25" s="10">
        <v>82.8</v>
      </c>
      <c r="CG25" s="10">
        <v>1.0860000000000001</v>
      </c>
      <c r="CH25" s="10">
        <v>0</v>
      </c>
      <c r="CI25" s="10">
        <v>15</v>
      </c>
      <c r="CJ25" s="10"/>
      <c r="CK25" s="10"/>
      <c r="CL25" s="10"/>
      <c r="CM25" s="10"/>
      <c r="CN25" s="10"/>
      <c r="CO25" s="10"/>
      <c r="CP25" s="10">
        <v>0</v>
      </c>
      <c r="CQ25" s="10">
        <v>46</v>
      </c>
      <c r="CR25" s="10">
        <v>0</v>
      </c>
      <c r="CS25" s="10">
        <v>82.8</v>
      </c>
      <c r="CT25" s="10">
        <v>1.68</v>
      </c>
      <c r="CU25" s="10">
        <v>0</v>
      </c>
      <c r="CV25" s="10">
        <v>24</v>
      </c>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38"/>
      <c r="EG25" s="38"/>
      <c r="EH25" s="10"/>
      <c r="EI25" s="10"/>
      <c r="EJ25" s="10"/>
      <c r="EK25" s="10"/>
      <c r="EL25" s="10"/>
      <c r="EM25" s="10"/>
      <c r="EN25" s="10"/>
      <c r="EO25" s="10"/>
      <c r="EP25" s="10"/>
      <c r="EQ25" s="10"/>
      <c r="ER25" s="10"/>
      <c r="ES25" s="10"/>
      <c r="ET25" s="10"/>
      <c r="EU25" s="10"/>
      <c r="EV25" s="10"/>
      <c r="EW25" s="10"/>
      <c r="EX25" s="10"/>
      <c r="EY25" s="10"/>
      <c r="EZ25" s="10"/>
      <c r="FA25" s="10"/>
      <c r="FB25" s="10"/>
      <c r="FC25" s="56">
        <v>5</v>
      </c>
      <c r="FD25" s="56">
        <v>500</v>
      </c>
      <c r="FE25" s="56">
        <v>5</v>
      </c>
      <c r="FF25" s="56">
        <v>94</v>
      </c>
      <c r="FG25" s="56">
        <v>5</v>
      </c>
      <c r="FH25" s="56">
        <v>1</v>
      </c>
      <c r="FI25" s="56">
        <v>85</v>
      </c>
      <c r="FJ25" s="56"/>
      <c r="FK25" s="56"/>
      <c r="FL25" s="56"/>
      <c r="FM25" s="56"/>
      <c r="FN25" s="56"/>
      <c r="FO25" s="56"/>
    </row>
    <row r="26" spans="1:171" x14ac:dyDescent="0.25">
      <c r="A26" s="25">
        <v>25</v>
      </c>
      <c r="B26" s="27" t="s">
        <v>13</v>
      </c>
      <c r="C26" s="10">
        <v>493</v>
      </c>
      <c r="D26" s="10">
        <v>15</v>
      </c>
      <c r="E26" s="10">
        <v>0.76</v>
      </c>
      <c r="F26" s="10">
        <v>0.77</v>
      </c>
      <c r="G26" s="10">
        <v>2200</v>
      </c>
      <c r="H26" s="10">
        <v>1037</v>
      </c>
      <c r="I26" s="10">
        <v>0</v>
      </c>
      <c r="J26" s="10">
        <v>10</v>
      </c>
      <c r="K26" s="10"/>
      <c r="L26" s="10"/>
      <c r="M26" s="10"/>
      <c r="N26" s="10"/>
      <c r="O26" s="10"/>
      <c r="P26" s="10">
        <v>351</v>
      </c>
      <c r="Q26" s="10">
        <v>2</v>
      </c>
      <c r="R26" s="10">
        <v>58.38</v>
      </c>
      <c r="S26" s="10">
        <v>58.28</v>
      </c>
      <c r="T26" s="16">
        <v>2200</v>
      </c>
      <c r="U26" s="10">
        <v>598</v>
      </c>
      <c r="V26" s="10">
        <v>0</v>
      </c>
      <c r="W26" s="10">
        <v>2</v>
      </c>
      <c r="X26" s="10"/>
      <c r="Y26" s="10"/>
      <c r="Z26" s="10"/>
      <c r="AA26" s="10"/>
      <c r="AB26" s="10"/>
      <c r="AC26" s="10">
        <v>265</v>
      </c>
      <c r="AD26" s="10">
        <v>0</v>
      </c>
      <c r="AE26" s="10">
        <v>62.77</v>
      </c>
      <c r="AF26" s="10">
        <v>60.39</v>
      </c>
      <c r="AG26" s="10">
        <v>2200</v>
      </c>
      <c r="AH26" s="10">
        <v>349</v>
      </c>
      <c r="AI26" s="10">
        <v>0</v>
      </c>
      <c r="AJ26" s="10">
        <v>85</v>
      </c>
      <c r="AK26" s="10"/>
      <c r="AL26" s="10"/>
      <c r="AM26" s="10"/>
      <c r="AN26" s="10"/>
      <c r="AO26" s="10"/>
      <c r="AP26" s="10">
        <v>337</v>
      </c>
      <c r="AQ26" s="10">
        <v>1566</v>
      </c>
      <c r="AR26" s="10">
        <v>65.17</v>
      </c>
      <c r="AS26" s="10">
        <v>62.82</v>
      </c>
      <c r="AT26" s="10">
        <v>45471</v>
      </c>
      <c r="AU26" s="10">
        <v>444</v>
      </c>
      <c r="AV26" s="10">
        <v>0</v>
      </c>
      <c r="AW26" s="10">
        <v>36</v>
      </c>
      <c r="AX26" s="10"/>
      <c r="AY26" s="10"/>
      <c r="AZ26" s="10"/>
      <c r="BA26" s="10"/>
      <c r="BB26" s="10"/>
      <c r="BC26" s="10">
        <v>348</v>
      </c>
      <c r="BD26" s="10">
        <v>175</v>
      </c>
      <c r="BE26" s="10">
        <v>68.290000000000006</v>
      </c>
      <c r="BF26" s="10">
        <v>65.930000000000007</v>
      </c>
      <c r="BG26" s="10">
        <v>2200</v>
      </c>
      <c r="BH26" s="10">
        <v>1717</v>
      </c>
      <c r="BI26" s="10">
        <v>0</v>
      </c>
      <c r="BJ26" s="10">
        <v>8</v>
      </c>
      <c r="BK26" s="10"/>
      <c r="BL26" s="10"/>
      <c r="BM26" s="10"/>
      <c r="BN26" s="10"/>
      <c r="BO26" s="10"/>
      <c r="BP26" s="10">
        <v>306</v>
      </c>
      <c r="BQ26" s="10">
        <v>13</v>
      </c>
      <c r="BR26" s="10">
        <v>81.98</v>
      </c>
      <c r="BS26" s="10">
        <v>80.09</v>
      </c>
      <c r="BT26" s="10">
        <v>49519</v>
      </c>
      <c r="BU26" s="10">
        <v>0</v>
      </c>
      <c r="BV26" s="10">
        <v>0</v>
      </c>
      <c r="BW26" s="10">
        <v>29</v>
      </c>
      <c r="BX26" s="10"/>
      <c r="BY26" s="10"/>
      <c r="BZ26" s="10"/>
      <c r="CA26" s="10"/>
      <c r="CB26" s="10"/>
      <c r="CC26" s="10">
        <v>268</v>
      </c>
      <c r="CD26" s="10">
        <v>95</v>
      </c>
      <c r="CE26" s="10">
        <v>92.64</v>
      </c>
      <c r="CF26" s="10">
        <v>92.77</v>
      </c>
      <c r="CG26" s="10">
        <v>2200</v>
      </c>
      <c r="CH26" s="10">
        <v>901</v>
      </c>
      <c r="CI26" s="10">
        <v>0</v>
      </c>
      <c r="CJ26" s="10">
        <v>31</v>
      </c>
      <c r="CK26" s="10"/>
      <c r="CL26" s="10"/>
      <c r="CM26" s="10"/>
      <c r="CN26" s="10"/>
      <c r="CO26" s="10"/>
      <c r="CP26" s="10">
        <v>605</v>
      </c>
      <c r="CQ26" s="10">
        <v>759</v>
      </c>
      <c r="CR26" s="10">
        <v>95.03</v>
      </c>
      <c r="CS26" s="10">
        <v>95.09</v>
      </c>
      <c r="CT26" s="10">
        <v>41992</v>
      </c>
      <c r="CU26" s="10">
        <v>668</v>
      </c>
      <c r="CV26" s="10">
        <v>0</v>
      </c>
      <c r="CW26" s="10">
        <v>54</v>
      </c>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56">
        <v>7500</v>
      </c>
      <c r="FD26" s="56">
        <v>4000</v>
      </c>
      <c r="FE26" s="56">
        <v>97.22</v>
      </c>
      <c r="FF26" s="56">
        <v>97.28</v>
      </c>
      <c r="FG26" s="56">
        <v>75000</v>
      </c>
      <c r="FH26" s="56">
        <v>60000</v>
      </c>
      <c r="FI26" s="56">
        <v>0</v>
      </c>
      <c r="FJ26" s="56">
        <v>500</v>
      </c>
      <c r="FK26" s="56"/>
      <c r="FL26" s="56"/>
      <c r="FM26" s="56"/>
      <c r="FN26" s="56"/>
      <c r="FO26" s="56"/>
    </row>
    <row r="27" spans="1:171" x14ac:dyDescent="0.25">
      <c r="A27" s="25">
        <v>26</v>
      </c>
      <c r="B27" s="27" t="s">
        <v>187</v>
      </c>
      <c r="C27" s="10">
        <v>204</v>
      </c>
      <c r="D27" s="10">
        <v>102</v>
      </c>
      <c r="E27" s="10">
        <v>306</v>
      </c>
      <c r="F27" s="10">
        <v>14.6</v>
      </c>
      <c r="G27" s="10">
        <v>0</v>
      </c>
      <c r="H27" s="10">
        <v>25</v>
      </c>
      <c r="I27" s="10">
        <v>1.2</v>
      </c>
      <c r="J27" s="10"/>
      <c r="K27" s="10"/>
      <c r="L27" s="10"/>
      <c r="M27" s="10"/>
      <c r="N27" s="10"/>
      <c r="O27" s="10"/>
      <c r="P27" s="10">
        <v>167</v>
      </c>
      <c r="Q27" s="10">
        <v>81</v>
      </c>
      <c r="R27" s="10">
        <v>248</v>
      </c>
      <c r="S27" s="10">
        <v>10.8</v>
      </c>
      <c r="T27" s="16">
        <v>0</v>
      </c>
      <c r="U27" s="10">
        <v>23</v>
      </c>
      <c r="V27" s="10">
        <v>1</v>
      </c>
      <c r="W27" s="10"/>
      <c r="X27" s="10"/>
      <c r="Y27" s="10"/>
      <c r="Z27" s="10"/>
      <c r="AA27" s="10"/>
      <c r="AB27" s="10"/>
      <c r="AC27" s="10">
        <v>200</v>
      </c>
      <c r="AD27" s="10">
        <v>88</v>
      </c>
      <c r="AE27" s="10">
        <v>288</v>
      </c>
      <c r="AF27" s="10">
        <v>16</v>
      </c>
      <c r="AG27" s="10">
        <v>0</v>
      </c>
      <c r="AH27" s="10">
        <v>32</v>
      </c>
      <c r="AI27" s="10">
        <v>1.8</v>
      </c>
      <c r="AJ27" s="10"/>
      <c r="AK27" s="10"/>
      <c r="AL27" s="10"/>
      <c r="AM27" s="10"/>
      <c r="AN27" s="10"/>
      <c r="AO27" s="10"/>
      <c r="AP27" s="10">
        <v>235</v>
      </c>
      <c r="AQ27" s="10">
        <v>108</v>
      </c>
      <c r="AR27" s="10">
        <v>343</v>
      </c>
      <c r="AS27" s="10">
        <v>14.9</v>
      </c>
      <c r="AT27" s="15">
        <v>0</v>
      </c>
      <c r="AU27" s="10">
        <v>29</v>
      </c>
      <c r="AV27" s="10">
        <v>1.3</v>
      </c>
      <c r="AW27" s="10"/>
      <c r="AX27" s="10"/>
      <c r="AY27" s="10"/>
      <c r="AZ27" s="10"/>
      <c r="BA27" s="10"/>
      <c r="BB27" s="10"/>
      <c r="BC27" s="10">
        <v>189</v>
      </c>
      <c r="BD27" s="10">
        <v>85</v>
      </c>
      <c r="BE27" s="10">
        <v>274</v>
      </c>
      <c r="BF27" s="10">
        <v>14.4</v>
      </c>
      <c r="BG27" s="10">
        <v>0</v>
      </c>
      <c r="BH27" s="10">
        <v>31</v>
      </c>
      <c r="BI27" s="10">
        <v>1.6</v>
      </c>
      <c r="BJ27" s="10"/>
      <c r="BK27" s="10"/>
      <c r="BL27" s="10"/>
      <c r="BM27" s="10"/>
      <c r="BN27" s="10"/>
      <c r="BO27" s="10"/>
      <c r="BP27" s="10">
        <v>166</v>
      </c>
      <c r="BQ27" s="10">
        <v>74</v>
      </c>
      <c r="BR27" s="10">
        <v>240</v>
      </c>
      <c r="BS27" s="10">
        <v>13.3</v>
      </c>
      <c r="BT27" s="10">
        <v>0</v>
      </c>
      <c r="BU27" s="10">
        <v>25</v>
      </c>
      <c r="BV27" s="10">
        <v>1.4</v>
      </c>
      <c r="BW27" s="10"/>
      <c r="BX27" s="10"/>
      <c r="BY27" s="10"/>
      <c r="BZ27" s="10"/>
      <c r="CA27" s="10"/>
      <c r="CB27" s="10"/>
      <c r="CC27" s="10">
        <v>229</v>
      </c>
      <c r="CD27" s="10">
        <v>106</v>
      </c>
      <c r="CE27" s="10">
        <v>335</v>
      </c>
      <c r="CF27" s="51">
        <v>16</v>
      </c>
      <c r="CG27" s="10">
        <v>0</v>
      </c>
      <c r="CH27" s="10">
        <v>38</v>
      </c>
      <c r="CI27" s="10">
        <v>1.8</v>
      </c>
      <c r="CJ27" s="10"/>
      <c r="CK27" s="10"/>
      <c r="CL27" s="10"/>
      <c r="CM27" s="10"/>
      <c r="CN27" s="10"/>
      <c r="CO27" s="10"/>
      <c r="CP27" s="10">
        <v>215</v>
      </c>
      <c r="CQ27" s="10">
        <v>98</v>
      </c>
      <c r="CR27" s="10">
        <v>313</v>
      </c>
      <c r="CS27" s="10">
        <v>15.7</v>
      </c>
      <c r="CT27" s="10">
        <v>0</v>
      </c>
      <c r="CU27" s="10">
        <v>31</v>
      </c>
      <c r="CV27" s="10">
        <v>1.6</v>
      </c>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56">
        <v>2550</v>
      </c>
      <c r="FD27" s="56">
        <v>1215</v>
      </c>
      <c r="FE27" s="56">
        <v>3765</v>
      </c>
      <c r="FF27" s="56">
        <v>15.5</v>
      </c>
      <c r="FG27" s="56">
        <v>3</v>
      </c>
      <c r="FH27" s="56">
        <v>360</v>
      </c>
      <c r="FI27" s="56">
        <v>1.6</v>
      </c>
      <c r="FJ27" s="56"/>
      <c r="FK27" s="56"/>
      <c r="FL27" s="56"/>
      <c r="FM27" s="56"/>
      <c r="FN27" s="56"/>
      <c r="FO27" s="56"/>
    </row>
    <row r="28" spans="1:171" x14ac:dyDescent="0.25">
      <c r="A28" s="25">
        <v>27</v>
      </c>
      <c r="B28" s="27" t="s">
        <v>504</v>
      </c>
      <c r="C28" s="10">
        <v>611</v>
      </c>
      <c r="D28" s="10">
        <v>344</v>
      </c>
      <c r="E28" s="10">
        <v>267</v>
      </c>
      <c r="F28" s="10">
        <v>80</v>
      </c>
      <c r="G28" s="10">
        <v>2.58</v>
      </c>
      <c r="H28" s="10">
        <v>40</v>
      </c>
      <c r="I28" s="10">
        <v>1.29</v>
      </c>
      <c r="J28" s="10">
        <v>8</v>
      </c>
      <c r="K28" s="10">
        <v>4</v>
      </c>
      <c r="L28" s="10">
        <v>264</v>
      </c>
      <c r="M28" s="10">
        <v>8.5</v>
      </c>
      <c r="N28" s="10">
        <v>227</v>
      </c>
      <c r="O28" s="10">
        <v>7.3</v>
      </c>
      <c r="P28" s="10">
        <v>674</v>
      </c>
      <c r="Q28" s="10">
        <v>392</v>
      </c>
      <c r="R28" s="10">
        <v>282</v>
      </c>
      <c r="S28" s="10">
        <v>118</v>
      </c>
      <c r="T28" s="16">
        <v>3.81</v>
      </c>
      <c r="U28" s="10">
        <v>67</v>
      </c>
      <c r="V28" s="10">
        <v>2.16</v>
      </c>
      <c r="W28" s="10">
        <v>8</v>
      </c>
      <c r="X28" s="10">
        <v>4</v>
      </c>
      <c r="Y28" s="10">
        <v>274</v>
      </c>
      <c r="Z28" s="10">
        <v>8.8000000000000007</v>
      </c>
      <c r="AA28" s="10">
        <v>215</v>
      </c>
      <c r="AB28" s="10">
        <v>6.9</v>
      </c>
      <c r="AC28" s="10">
        <v>774</v>
      </c>
      <c r="AD28" s="10">
        <v>471</v>
      </c>
      <c r="AE28" s="10">
        <v>302</v>
      </c>
      <c r="AF28" s="10">
        <v>197</v>
      </c>
      <c r="AG28" s="10">
        <v>6.6</v>
      </c>
      <c r="AH28" s="10">
        <v>94</v>
      </c>
      <c r="AI28" s="10">
        <v>3.1</v>
      </c>
      <c r="AJ28" s="10">
        <v>8</v>
      </c>
      <c r="AK28" s="10">
        <v>5</v>
      </c>
      <c r="AL28" s="10">
        <v>274</v>
      </c>
      <c r="AM28" s="10">
        <v>9.1</v>
      </c>
      <c r="AN28" s="10">
        <v>208</v>
      </c>
      <c r="AO28" s="10">
        <v>6.9</v>
      </c>
      <c r="AP28" s="10">
        <v>701</v>
      </c>
      <c r="AQ28" s="10">
        <v>455</v>
      </c>
      <c r="AR28" s="10">
        <v>266</v>
      </c>
      <c r="AS28" s="10">
        <v>159</v>
      </c>
      <c r="AT28" s="10">
        <v>5.13</v>
      </c>
      <c r="AU28" s="10">
        <v>64</v>
      </c>
      <c r="AV28" s="10">
        <v>2.06</v>
      </c>
      <c r="AW28" s="10">
        <v>6</v>
      </c>
      <c r="AX28" s="10">
        <v>5</v>
      </c>
      <c r="AY28" s="10">
        <v>296</v>
      </c>
      <c r="AZ28" s="10">
        <v>9.5500000000000007</v>
      </c>
      <c r="BA28" s="10">
        <v>202</v>
      </c>
      <c r="BB28" s="10">
        <v>6.52</v>
      </c>
      <c r="BC28" s="10">
        <v>541</v>
      </c>
      <c r="BD28" s="10">
        <v>334</v>
      </c>
      <c r="BE28" s="10">
        <v>207</v>
      </c>
      <c r="BF28" s="10">
        <v>79</v>
      </c>
      <c r="BG28" s="10">
        <v>2.63</v>
      </c>
      <c r="BH28" s="10">
        <v>41</v>
      </c>
      <c r="BI28" s="10">
        <v>1.37</v>
      </c>
      <c r="BJ28" s="10">
        <v>7</v>
      </c>
      <c r="BK28" s="10">
        <v>4</v>
      </c>
      <c r="BL28" s="10">
        <v>255</v>
      </c>
      <c r="BM28" s="10">
        <v>8.5</v>
      </c>
      <c r="BN28" s="10">
        <v>166</v>
      </c>
      <c r="BO28" s="10">
        <v>5.53</v>
      </c>
      <c r="BP28" s="10">
        <v>633</v>
      </c>
      <c r="BQ28" s="10">
        <v>418</v>
      </c>
      <c r="BR28" s="10">
        <v>215</v>
      </c>
      <c r="BS28" s="10">
        <v>134</v>
      </c>
      <c r="BT28" s="10">
        <v>4.32</v>
      </c>
      <c r="BU28" s="10">
        <v>56</v>
      </c>
      <c r="BV28" s="10">
        <v>1.81</v>
      </c>
      <c r="BW28" s="10">
        <v>7</v>
      </c>
      <c r="BX28" s="10">
        <v>5</v>
      </c>
      <c r="BY28" s="10">
        <v>281</v>
      </c>
      <c r="BZ28" s="10">
        <v>9.16</v>
      </c>
      <c r="CA28" s="10">
        <v>159</v>
      </c>
      <c r="CB28" s="10">
        <v>5.13</v>
      </c>
      <c r="CC28" s="10">
        <v>555</v>
      </c>
      <c r="CD28" s="10">
        <v>328</v>
      </c>
      <c r="CE28" s="10">
        <v>226</v>
      </c>
      <c r="CF28" s="10">
        <v>61</v>
      </c>
      <c r="CG28" s="10">
        <v>1.97</v>
      </c>
      <c r="CH28" s="10">
        <v>49</v>
      </c>
      <c r="CI28" s="10">
        <v>1.58</v>
      </c>
      <c r="CJ28" s="10">
        <v>7</v>
      </c>
      <c r="CK28" s="10">
        <v>4</v>
      </c>
      <c r="CL28" s="10">
        <v>267</v>
      </c>
      <c r="CM28" s="10">
        <v>8.61</v>
      </c>
      <c r="CN28" s="10">
        <v>177</v>
      </c>
      <c r="CO28" s="10">
        <v>5.71</v>
      </c>
      <c r="CP28" s="10">
        <v>584</v>
      </c>
      <c r="CQ28" s="10">
        <v>329</v>
      </c>
      <c r="CR28" s="10">
        <v>255</v>
      </c>
      <c r="CS28" s="10">
        <v>70</v>
      </c>
      <c r="CT28" s="10">
        <v>2.5</v>
      </c>
      <c r="CU28" s="10">
        <v>38</v>
      </c>
      <c r="CV28" s="10">
        <v>1.36</v>
      </c>
      <c r="CW28" s="10">
        <v>7</v>
      </c>
      <c r="CX28" s="10">
        <v>4</v>
      </c>
      <c r="CY28" s="10">
        <v>259</v>
      </c>
      <c r="CZ28" s="10">
        <v>9.25</v>
      </c>
      <c r="DA28" s="10">
        <v>217</v>
      </c>
      <c r="DB28" s="10">
        <v>7.75</v>
      </c>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56">
        <v>7000</v>
      </c>
      <c r="FD28" s="56">
        <v>4500</v>
      </c>
      <c r="FE28" s="56">
        <v>3000</v>
      </c>
      <c r="FF28" s="56">
        <v>960</v>
      </c>
      <c r="FG28" s="56">
        <v>2.65</v>
      </c>
      <c r="FH28" s="56">
        <v>750</v>
      </c>
      <c r="FI28" s="56">
        <v>1.5</v>
      </c>
      <c r="FJ28" s="56">
        <v>6</v>
      </c>
      <c r="FK28" s="56">
        <v>4</v>
      </c>
      <c r="FL28" s="56">
        <v>3000</v>
      </c>
      <c r="FM28" s="56">
        <v>7.5</v>
      </c>
      <c r="FN28" s="56">
        <v>2750</v>
      </c>
      <c r="FO28" s="56">
        <v>6</v>
      </c>
    </row>
    <row r="29" spans="1:171" s="7" customFormat="1" x14ac:dyDescent="0.25">
      <c r="A29" s="26">
        <v>28</v>
      </c>
      <c r="B29" s="27" t="s">
        <v>232</v>
      </c>
      <c r="C29" s="38">
        <v>5017</v>
      </c>
      <c r="D29" s="38">
        <v>10743</v>
      </c>
      <c r="E29" s="38">
        <v>207</v>
      </c>
      <c r="F29" s="38">
        <v>9.9</v>
      </c>
      <c r="G29" s="38">
        <v>6</v>
      </c>
      <c r="H29" s="38">
        <v>2</v>
      </c>
      <c r="I29" s="38">
        <v>46.58</v>
      </c>
      <c r="J29" s="38">
        <v>41.04</v>
      </c>
      <c r="K29" s="38">
        <v>11.9</v>
      </c>
      <c r="L29" s="38"/>
      <c r="M29" s="38"/>
      <c r="N29" s="38"/>
      <c r="O29" s="38"/>
      <c r="P29" s="38">
        <v>5001</v>
      </c>
      <c r="Q29" s="38">
        <v>10788</v>
      </c>
      <c r="R29" s="38">
        <v>281</v>
      </c>
      <c r="S29" s="38">
        <v>12.2</v>
      </c>
      <c r="T29" s="50">
        <v>6</v>
      </c>
      <c r="U29" s="38">
        <v>2</v>
      </c>
      <c r="V29" s="38">
        <v>88.45</v>
      </c>
      <c r="W29" s="38">
        <v>79.900000000000006</v>
      </c>
      <c r="X29" s="38">
        <v>9.6999999999999993</v>
      </c>
      <c r="Y29" s="38"/>
      <c r="Z29" s="38"/>
      <c r="AA29" s="38"/>
      <c r="AB29" s="38"/>
      <c r="AC29" s="38">
        <v>4546</v>
      </c>
      <c r="AD29" s="38">
        <v>10788</v>
      </c>
      <c r="AE29" s="38">
        <v>245</v>
      </c>
      <c r="AF29" s="38">
        <v>13.6</v>
      </c>
      <c r="AG29" s="38">
        <v>6</v>
      </c>
      <c r="AH29" s="38">
        <v>2</v>
      </c>
      <c r="AI29" s="38">
        <v>128.9</v>
      </c>
      <c r="AJ29" s="38">
        <v>122.2</v>
      </c>
      <c r="AK29" s="38">
        <v>5.3</v>
      </c>
      <c r="AL29" s="38"/>
      <c r="AM29" s="38"/>
      <c r="AN29" s="38"/>
      <c r="AO29" s="38"/>
      <c r="AP29" s="38">
        <v>4976</v>
      </c>
      <c r="AQ29" s="38">
        <v>10901</v>
      </c>
      <c r="AR29" s="38">
        <v>225</v>
      </c>
      <c r="AS29" s="38">
        <v>9.8000000000000007</v>
      </c>
      <c r="AT29" s="38">
        <v>6</v>
      </c>
      <c r="AU29" s="38">
        <v>1</v>
      </c>
      <c r="AV29" s="38">
        <v>169.7</v>
      </c>
      <c r="AW29" s="38">
        <v>156.1</v>
      </c>
      <c r="AX29" s="38">
        <v>8</v>
      </c>
      <c r="AY29" s="38"/>
      <c r="AZ29" s="38"/>
      <c r="BA29" s="38"/>
      <c r="BB29" s="38"/>
      <c r="BC29" s="38">
        <v>4898</v>
      </c>
      <c r="BD29" s="38">
        <v>10901</v>
      </c>
      <c r="BE29" s="38">
        <v>221</v>
      </c>
      <c r="BF29" s="38">
        <v>11.6</v>
      </c>
      <c r="BG29" s="38">
        <v>6</v>
      </c>
      <c r="BH29" s="38">
        <v>1</v>
      </c>
      <c r="BI29" s="38">
        <v>207.1</v>
      </c>
      <c r="BJ29" s="38">
        <v>197.8</v>
      </c>
      <c r="BK29" s="38">
        <v>5.5</v>
      </c>
      <c r="BL29" s="38"/>
      <c r="BM29" s="38"/>
      <c r="BN29" s="38"/>
      <c r="BO29" s="38"/>
      <c r="BP29" s="38">
        <v>4871</v>
      </c>
      <c r="BQ29" s="38">
        <v>11440</v>
      </c>
      <c r="BR29" s="38">
        <v>183</v>
      </c>
      <c r="BS29" s="38">
        <v>10.199999999999999</v>
      </c>
      <c r="BT29" s="38">
        <v>6</v>
      </c>
      <c r="BU29" s="38">
        <v>2</v>
      </c>
      <c r="BV29" s="38">
        <v>239.9</v>
      </c>
      <c r="BW29" s="38">
        <v>234.2</v>
      </c>
      <c r="BX29" s="38">
        <v>2.4</v>
      </c>
      <c r="BY29" s="38"/>
      <c r="BZ29" s="38"/>
      <c r="CA29" s="38"/>
      <c r="CB29" s="38"/>
      <c r="CC29" s="38">
        <v>5076</v>
      </c>
      <c r="CD29" s="38">
        <v>11492</v>
      </c>
      <c r="CE29" s="38">
        <v>199</v>
      </c>
      <c r="CF29" s="38">
        <v>9.5</v>
      </c>
      <c r="CG29" s="38">
        <v>6</v>
      </c>
      <c r="CH29" s="38">
        <v>2</v>
      </c>
      <c r="CI29" s="38">
        <v>285.10000000000002</v>
      </c>
      <c r="CJ29" s="38">
        <v>269.60000000000002</v>
      </c>
      <c r="CK29" s="38">
        <v>5.4</v>
      </c>
      <c r="CL29" s="38"/>
      <c r="CM29" s="38"/>
      <c r="CN29" s="38"/>
      <c r="CO29" s="38"/>
      <c r="CP29" s="38">
        <v>4951</v>
      </c>
      <c r="CQ29" s="38">
        <v>11527</v>
      </c>
      <c r="CR29" s="38">
        <v>163</v>
      </c>
      <c r="CS29" s="38">
        <v>8.1999999999999993</v>
      </c>
      <c r="CT29" s="38">
        <v>6</v>
      </c>
      <c r="CU29" s="38">
        <v>2</v>
      </c>
      <c r="CV29" s="38">
        <v>314.60000000000002</v>
      </c>
      <c r="CW29" s="38">
        <v>305.89999999999998</v>
      </c>
      <c r="CX29" s="38">
        <v>2.8</v>
      </c>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56">
        <v>55500</v>
      </c>
      <c r="FD29" s="56">
        <v>10250</v>
      </c>
      <c r="FE29" s="56">
        <v>3150</v>
      </c>
      <c r="FF29" s="56">
        <v>13.1</v>
      </c>
      <c r="FG29" s="56">
        <v>10</v>
      </c>
      <c r="FH29" s="56">
        <v>5</v>
      </c>
      <c r="FI29" s="56">
        <v>630</v>
      </c>
      <c r="FJ29" s="56">
        <v>535</v>
      </c>
      <c r="FK29" s="56">
        <v>10</v>
      </c>
      <c r="FL29" s="56"/>
      <c r="FM29" s="56"/>
      <c r="FN29" s="56"/>
      <c r="FO29" s="56"/>
    </row>
    <row r="30" spans="1:171" x14ac:dyDescent="0.25">
      <c r="A30" s="25">
        <v>29</v>
      </c>
      <c r="B30" s="28">
        <v>911</v>
      </c>
      <c r="C30" s="10">
        <v>11880</v>
      </c>
      <c r="D30" s="10">
        <v>2.19</v>
      </c>
      <c r="E30" s="10">
        <v>1.02</v>
      </c>
      <c r="F30" s="10">
        <v>2.44</v>
      </c>
      <c r="G30" s="10">
        <v>4.01</v>
      </c>
      <c r="H30" s="10">
        <v>97.1</v>
      </c>
      <c r="I30" s="10"/>
      <c r="J30" s="10"/>
      <c r="K30" s="10"/>
      <c r="L30" s="10"/>
      <c r="M30" s="10"/>
      <c r="N30" s="10"/>
      <c r="O30" s="10"/>
      <c r="P30" s="10">
        <v>12401</v>
      </c>
      <c r="Q30" s="10">
        <v>2.1800000000000002</v>
      </c>
      <c r="R30" s="10">
        <v>1.08</v>
      </c>
      <c r="S30" s="10">
        <v>2.42</v>
      </c>
      <c r="T30" s="16">
        <v>4.18</v>
      </c>
      <c r="U30" s="10">
        <v>95.75</v>
      </c>
      <c r="V30" s="10"/>
      <c r="W30" s="10"/>
      <c r="X30" s="10"/>
      <c r="Y30" s="10"/>
      <c r="Z30" s="10"/>
      <c r="AA30" s="10"/>
      <c r="AB30" s="10"/>
      <c r="AC30" s="10">
        <v>12039</v>
      </c>
      <c r="AD30" s="10">
        <v>2.17</v>
      </c>
      <c r="AE30" s="10">
        <v>1.04</v>
      </c>
      <c r="AF30" s="10">
        <v>2.34</v>
      </c>
      <c r="AG30" s="10">
        <v>3.92</v>
      </c>
      <c r="AH30" s="10">
        <v>96.65</v>
      </c>
      <c r="AI30" s="10"/>
      <c r="AJ30" s="10"/>
      <c r="AK30" s="10"/>
      <c r="AL30" s="10"/>
      <c r="AM30" s="10"/>
      <c r="AN30" s="10"/>
      <c r="AO30" s="10"/>
      <c r="AP30" s="10">
        <v>12072</v>
      </c>
      <c r="AQ30" s="10">
        <v>2.08</v>
      </c>
      <c r="AR30" s="10">
        <v>1.17</v>
      </c>
      <c r="AS30" s="10">
        <v>2.48</v>
      </c>
      <c r="AT30" s="18">
        <v>4.05</v>
      </c>
      <c r="AU30" s="10">
        <v>96.6</v>
      </c>
      <c r="AV30" s="10"/>
      <c r="AW30" s="10"/>
      <c r="AX30" s="10"/>
      <c r="AY30" s="10"/>
      <c r="AZ30" s="10"/>
      <c r="BA30" s="10"/>
      <c r="BB30" s="10"/>
      <c r="BC30" s="10">
        <v>10866</v>
      </c>
      <c r="BD30" s="10">
        <v>2.11</v>
      </c>
      <c r="BE30" s="10">
        <v>0.54</v>
      </c>
      <c r="BF30" s="10">
        <v>2.4500000000000002</v>
      </c>
      <c r="BG30" s="10">
        <v>3.77</v>
      </c>
      <c r="BH30" s="10">
        <v>98.49</v>
      </c>
      <c r="BI30" s="10"/>
      <c r="BJ30" s="10"/>
      <c r="BK30" s="10"/>
      <c r="BL30" s="10"/>
      <c r="BM30" s="10"/>
      <c r="BN30" s="10"/>
      <c r="BO30" s="10"/>
      <c r="BP30" s="10">
        <v>11269</v>
      </c>
      <c r="BQ30" s="10">
        <v>2.06</v>
      </c>
      <c r="BR30" s="10">
        <v>1.1299999999999999</v>
      </c>
      <c r="BS30" s="10">
        <v>2.52</v>
      </c>
      <c r="BT30" s="10">
        <v>3.77</v>
      </c>
      <c r="BU30" s="10">
        <v>98.46</v>
      </c>
      <c r="BV30" s="10"/>
      <c r="BW30" s="10"/>
      <c r="BX30" s="10"/>
      <c r="BY30" s="10"/>
      <c r="BZ30" s="10"/>
      <c r="CA30" s="10"/>
      <c r="CB30" s="10"/>
      <c r="CC30" s="10">
        <v>11097</v>
      </c>
      <c r="CD30" s="10">
        <v>2.33</v>
      </c>
      <c r="CE30" s="10">
        <v>0.51</v>
      </c>
      <c r="CF30" s="10">
        <v>2.15</v>
      </c>
      <c r="CG30" s="10">
        <v>3.74</v>
      </c>
      <c r="CH30" s="10">
        <v>99.27</v>
      </c>
      <c r="CI30" s="10"/>
      <c r="CJ30" s="10"/>
      <c r="CK30" s="10"/>
      <c r="CL30" s="10"/>
      <c r="CM30" s="10"/>
      <c r="CN30" s="10"/>
      <c r="CO30" s="10"/>
      <c r="CP30" s="10">
        <v>10091</v>
      </c>
      <c r="CQ30" s="10">
        <v>2.06</v>
      </c>
      <c r="CR30" s="10">
        <v>0.5</v>
      </c>
      <c r="CS30" s="10">
        <v>2.37</v>
      </c>
      <c r="CT30" s="10">
        <v>3.72</v>
      </c>
      <c r="CU30" s="10">
        <v>98.67</v>
      </c>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38"/>
      <c r="EQ30" s="38"/>
      <c r="ER30" s="38"/>
      <c r="ES30" s="38"/>
      <c r="ET30" s="38"/>
      <c r="EU30" s="38"/>
      <c r="EV30" s="10"/>
      <c r="EW30" s="10"/>
      <c r="EX30" s="10"/>
      <c r="EY30" s="10"/>
      <c r="EZ30" s="10"/>
      <c r="FA30" s="10"/>
      <c r="FB30" s="10"/>
      <c r="FC30" s="56">
        <v>120500</v>
      </c>
      <c r="FD30" s="56">
        <v>2.25</v>
      </c>
      <c r="FE30" s="56">
        <v>1</v>
      </c>
      <c r="FF30" s="56">
        <v>2.5</v>
      </c>
      <c r="FG30" s="56">
        <v>4.25</v>
      </c>
      <c r="FH30" s="56">
        <v>95.25</v>
      </c>
      <c r="FI30" s="56"/>
      <c r="FJ30" s="56"/>
      <c r="FK30" s="56"/>
      <c r="FL30" s="56"/>
      <c r="FM30" s="56"/>
      <c r="FN30" s="56"/>
      <c r="FO30" s="56"/>
    </row>
    <row r="31" spans="1:171" x14ac:dyDescent="0.25">
      <c r="A31" s="35"/>
      <c r="B31" s="40"/>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S31" s="10"/>
      <c r="DT31" s="10"/>
      <c r="DU31" s="10"/>
      <c r="FC31" s="7"/>
      <c r="FD31" s="7"/>
      <c r="FE31" s="7"/>
      <c r="FF31" s="7"/>
      <c r="FG31" s="7"/>
      <c r="FH31" s="7"/>
      <c r="FI31" s="7"/>
      <c r="FJ31" s="7"/>
      <c r="FK31" s="7"/>
      <c r="FL31" s="7"/>
      <c r="FM31" s="7"/>
      <c r="FN31" s="7"/>
      <c r="FO31" s="7"/>
    </row>
    <row r="32" spans="1:171" x14ac:dyDescent="0.25">
      <c r="A32" s="35"/>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S32" s="10"/>
      <c r="DT32" s="10"/>
      <c r="DU32" s="10"/>
      <c r="DV32" s="10"/>
    </row>
    <row r="33" spans="1:124" x14ac:dyDescent="0.25">
      <c r="A33" s="35"/>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S33" s="10"/>
      <c r="DT33" s="10"/>
    </row>
    <row r="34" spans="1:124" x14ac:dyDescent="0.25">
      <c r="C34" s="10"/>
      <c r="D34" s="10"/>
      <c r="E34" s="10"/>
      <c r="F34" s="10"/>
      <c r="G34" s="10"/>
      <c r="H34" s="10"/>
      <c r="I34" s="10"/>
      <c r="J34" s="10"/>
      <c r="K34" s="10"/>
      <c r="L34" s="10"/>
      <c r="M34" s="10"/>
      <c r="N34" s="10"/>
      <c r="O34" s="10"/>
      <c r="P34" s="10"/>
      <c r="Q34" s="10"/>
      <c r="R34" s="10"/>
      <c r="S34" s="10"/>
      <c r="T34" s="16"/>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row>
    <row r="35" spans="1:124" x14ac:dyDescent="0.25">
      <c r="C35" s="10"/>
      <c r="D35" s="10"/>
      <c r="E35" s="10"/>
      <c r="F35" s="10"/>
      <c r="G35" s="10"/>
      <c r="H35" s="10"/>
      <c r="I35" s="10"/>
      <c r="J35" s="10"/>
      <c r="K35" s="10"/>
      <c r="L35" s="10"/>
      <c r="M35" s="10"/>
      <c r="N35" s="10"/>
      <c r="O35" s="10"/>
      <c r="P35" s="10"/>
      <c r="Q35" s="10"/>
      <c r="R35" s="10"/>
      <c r="S35" s="10"/>
      <c r="T35" s="16"/>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row>
    <row r="36" spans="1:124" x14ac:dyDescent="0.25">
      <c r="C36" s="10"/>
      <c r="D36" s="10"/>
      <c r="E36" s="10"/>
      <c r="F36" s="10"/>
      <c r="G36" s="10"/>
      <c r="H36" s="10"/>
      <c r="I36" s="10"/>
      <c r="J36" s="10"/>
      <c r="K36" s="10"/>
      <c r="L36" s="10"/>
      <c r="M36" s="10"/>
      <c r="N36" s="10"/>
      <c r="O36" s="10"/>
      <c r="P36" s="10"/>
      <c r="Q36" s="10"/>
      <c r="R36" s="10"/>
      <c r="S36" s="10"/>
      <c r="T36" s="16"/>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row>
    <row r="37" spans="1:124" x14ac:dyDescent="0.25">
      <c r="C37" s="10"/>
      <c r="D37" s="10"/>
      <c r="E37" s="10"/>
      <c r="F37" s="10"/>
      <c r="G37" s="10"/>
      <c r="H37" s="10"/>
      <c r="I37" s="10"/>
      <c r="J37" s="10"/>
      <c r="K37" s="10"/>
      <c r="L37" s="10"/>
      <c r="M37" s="10"/>
      <c r="N37" s="10"/>
      <c r="O37" s="10"/>
      <c r="P37" s="10"/>
      <c r="Q37" s="10"/>
      <c r="R37" s="10"/>
      <c r="S37" s="10"/>
      <c r="T37" s="16"/>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row>
    <row r="38" spans="1:124" x14ac:dyDescent="0.25">
      <c r="C38" s="10"/>
      <c r="D38" s="10"/>
      <c r="E38" s="10"/>
      <c r="F38" s="10"/>
      <c r="G38" s="10"/>
      <c r="H38" s="10"/>
      <c r="I38" s="10"/>
      <c r="J38" s="10"/>
      <c r="K38" s="10"/>
      <c r="L38" s="10"/>
      <c r="M38" s="10"/>
      <c r="N38" s="10"/>
      <c r="O38" s="10"/>
      <c r="P38" s="10"/>
      <c r="Q38" s="10"/>
      <c r="R38" s="10"/>
      <c r="S38" s="10"/>
      <c r="T38" s="16"/>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row>
    <row r="39" spans="1:124" x14ac:dyDescent="0.25">
      <c r="C39" s="10"/>
      <c r="D39" s="10"/>
      <c r="E39" s="10"/>
      <c r="F39" s="10"/>
      <c r="G39" s="10"/>
      <c r="H39" s="10"/>
      <c r="I39" s="10"/>
      <c r="J39" s="10"/>
      <c r="K39" s="10"/>
      <c r="L39" s="10"/>
      <c r="M39" s="10"/>
      <c r="N39" s="10"/>
      <c r="O39" s="10"/>
      <c r="P39" s="10"/>
      <c r="Q39" s="10"/>
      <c r="R39" s="10"/>
      <c r="S39" s="10"/>
      <c r="T39" s="16"/>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row>
    <row r="40" spans="1:124" x14ac:dyDescent="0.25">
      <c r="B40" s="9"/>
      <c r="C40" s="10"/>
      <c r="D40" s="10"/>
      <c r="E40" s="10"/>
      <c r="F40" s="10"/>
      <c r="G40" s="10"/>
      <c r="H40" s="10"/>
      <c r="I40" s="10"/>
      <c r="J40" s="10"/>
      <c r="K40" s="10"/>
      <c r="L40" s="10"/>
      <c r="M40" s="10"/>
      <c r="N40" s="10"/>
      <c r="O40" s="10"/>
      <c r="P40" s="10"/>
      <c r="Q40" s="10"/>
      <c r="R40" s="10"/>
      <c r="S40" s="10"/>
      <c r="T40" s="16"/>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row>
    <row r="41" spans="1:124" x14ac:dyDescent="0.25">
      <c r="C41" s="10"/>
      <c r="D41" s="10"/>
      <c r="E41" s="10"/>
      <c r="F41" s="10"/>
      <c r="G41" s="10"/>
      <c r="H41" s="10"/>
      <c r="I41" s="10"/>
      <c r="J41" s="10"/>
      <c r="K41" s="10"/>
      <c r="L41" s="10"/>
      <c r="M41" s="10"/>
      <c r="N41" s="10"/>
      <c r="O41" s="10"/>
      <c r="P41" s="10"/>
      <c r="Q41" s="10"/>
      <c r="R41" s="10"/>
      <c r="S41" s="10"/>
      <c r="T41" s="16"/>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row>
    <row r="42" spans="1:124" x14ac:dyDescent="0.25">
      <c r="C42" s="10"/>
      <c r="D42" s="10"/>
      <c r="E42" s="10"/>
      <c r="F42" s="10"/>
      <c r="G42" s="10"/>
      <c r="H42" s="10"/>
      <c r="I42" s="10"/>
      <c r="J42" s="10"/>
      <c r="K42" s="10"/>
      <c r="L42" s="10"/>
      <c r="M42" s="10"/>
      <c r="N42" s="10"/>
      <c r="O42" s="10"/>
      <c r="P42" s="10"/>
      <c r="Q42" s="10"/>
      <c r="R42" s="10"/>
      <c r="S42" s="10"/>
      <c r="T42" s="16"/>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row>
    <row r="43" spans="1:124" x14ac:dyDescent="0.25">
      <c r="C43" s="10"/>
      <c r="D43" s="10"/>
      <c r="E43" s="10"/>
      <c r="F43" s="10"/>
      <c r="G43" s="10"/>
      <c r="H43" s="10"/>
      <c r="I43" s="10"/>
      <c r="J43" s="10"/>
      <c r="K43" s="10"/>
      <c r="L43" s="10"/>
      <c r="M43" s="10"/>
      <c r="N43" s="10"/>
      <c r="O43" s="10"/>
      <c r="P43" s="10"/>
      <c r="Q43" s="10"/>
      <c r="R43" s="10"/>
      <c r="S43" s="10"/>
      <c r="T43" s="16"/>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row>
    <row r="44" spans="1:124" x14ac:dyDescent="0.25">
      <c r="C44" s="10"/>
      <c r="D44" s="10"/>
      <c r="E44" s="10"/>
      <c r="F44" s="12"/>
      <c r="G44" s="10"/>
      <c r="H44" s="10"/>
      <c r="I44" s="10"/>
      <c r="J44" s="10"/>
      <c r="K44" s="10"/>
      <c r="L44" s="10"/>
      <c r="M44" s="10"/>
      <c r="N44" s="10"/>
      <c r="O44" s="10"/>
      <c r="P44" s="10"/>
      <c r="Q44" s="10"/>
      <c r="R44" s="10"/>
      <c r="S44" s="10"/>
      <c r="T44" s="16"/>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row>
    <row r="45" spans="1:124" x14ac:dyDescent="0.25">
      <c r="C45" s="10"/>
      <c r="D45" s="10"/>
      <c r="E45" s="10"/>
      <c r="F45" s="10"/>
      <c r="G45" s="10"/>
      <c r="H45" s="10"/>
      <c r="I45" s="10"/>
      <c r="J45" s="10"/>
      <c r="K45" s="10"/>
      <c r="L45" s="10"/>
      <c r="M45" s="10"/>
      <c r="N45" s="10"/>
      <c r="O45" s="10"/>
      <c r="P45" s="10"/>
      <c r="Q45" s="10"/>
      <c r="R45" s="10"/>
      <c r="S45" s="10"/>
      <c r="T45" s="16"/>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row>
    <row r="46" spans="1:124" x14ac:dyDescent="0.25">
      <c r="C46" s="10"/>
      <c r="D46" s="10"/>
      <c r="E46" s="10"/>
      <c r="F46" s="10"/>
      <c r="G46" s="10"/>
      <c r="H46" s="10"/>
      <c r="I46" s="10"/>
      <c r="J46" s="10"/>
      <c r="K46" s="10"/>
      <c r="L46" s="10"/>
      <c r="M46" s="10"/>
      <c r="N46" s="10"/>
      <c r="O46" s="10"/>
      <c r="P46" s="10"/>
      <c r="Q46" s="10"/>
      <c r="R46" s="10"/>
      <c r="S46" s="10"/>
      <c r="T46" s="16"/>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row>
    <row r="47" spans="1:124" x14ac:dyDescent="0.25">
      <c r="B47" s="9"/>
      <c r="C47" s="10"/>
      <c r="D47" s="10"/>
      <c r="E47" s="10"/>
      <c r="F47" s="10"/>
      <c r="G47" s="10"/>
      <c r="H47" s="10"/>
      <c r="I47" s="10"/>
      <c r="J47" s="10"/>
      <c r="K47" s="10"/>
      <c r="L47" s="10"/>
      <c r="M47" s="10"/>
      <c r="N47" s="10"/>
      <c r="O47" s="10"/>
      <c r="P47" s="10"/>
      <c r="Q47" s="10"/>
      <c r="R47" s="10"/>
      <c r="S47" s="10"/>
      <c r="T47" s="16"/>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row>
    <row r="48" spans="1:124" x14ac:dyDescent="0.25">
      <c r="C48" s="10"/>
      <c r="D48" s="10"/>
      <c r="E48" s="10"/>
      <c r="F48" s="10"/>
      <c r="G48" s="10"/>
      <c r="H48" s="10"/>
      <c r="I48" s="10"/>
      <c r="J48" s="10"/>
      <c r="K48" s="10"/>
      <c r="L48" s="10"/>
      <c r="M48" s="10"/>
      <c r="N48" s="10"/>
      <c r="O48" s="10"/>
      <c r="P48" s="10"/>
      <c r="Q48" s="10"/>
      <c r="R48" s="10"/>
      <c r="S48" s="10"/>
      <c r="T48" s="16"/>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row>
    <row r="49" spans="2:120" x14ac:dyDescent="0.25">
      <c r="C49" s="10"/>
      <c r="D49" s="10"/>
      <c r="E49" s="10"/>
      <c r="F49" s="10"/>
      <c r="G49" s="10"/>
      <c r="H49" s="10"/>
      <c r="I49" s="10"/>
      <c r="J49" s="10"/>
      <c r="K49" s="10"/>
      <c r="L49" s="10"/>
      <c r="M49" s="10"/>
      <c r="N49" s="10"/>
      <c r="O49" s="10"/>
      <c r="P49" s="10"/>
      <c r="Q49" s="10"/>
      <c r="R49" s="10"/>
      <c r="S49" s="10"/>
      <c r="T49" s="16"/>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row>
    <row r="50" spans="2:120" x14ac:dyDescent="0.25">
      <c r="C50" s="10"/>
      <c r="D50" s="10"/>
      <c r="E50" s="10"/>
      <c r="F50" s="10"/>
      <c r="G50" s="10"/>
      <c r="H50" s="10"/>
      <c r="I50" s="10"/>
      <c r="J50" s="10"/>
      <c r="K50" s="10"/>
      <c r="L50" s="10"/>
      <c r="M50" s="10"/>
      <c r="N50" s="10"/>
      <c r="O50" s="10"/>
      <c r="P50" s="10"/>
      <c r="Q50" s="10"/>
      <c r="R50" s="10"/>
      <c r="S50" s="10"/>
      <c r="T50" s="16"/>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row>
    <row r="51" spans="2:120" x14ac:dyDescent="0.25">
      <c r="C51" s="10"/>
      <c r="D51" s="10"/>
      <c r="E51" s="10"/>
      <c r="F51" s="10"/>
      <c r="G51" s="10"/>
      <c r="H51" s="10"/>
      <c r="I51" s="10"/>
      <c r="J51" s="10"/>
      <c r="K51" s="10"/>
      <c r="L51" s="10"/>
      <c r="M51" s="10"/>
      <c r="N51" s="10"/>
      <c r="O51" s="10"/>
      <c r="P51" s="10"/>
      <c r="Q51" s="10"/>
      <c r="R51" s="10"/>
      <c r="S51" s="10"/>
      <c r="T51" s="16"/>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row>
    <row r="52" spans="2:120" x14ac:dyDescent="0.25">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row>
    <row r="53" spans="2:120" x14ac:dyDescent="0.2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row>
    <row r="54" spans="2:120" x14ac:dyDescent="0.2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row>
    <row r="55" spans="2:120" x14ac:dyDescent="0.2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t="s">
        <v>330</v>
      </c>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row>
    <row r="56" spans="2:120" x14ac:dyDescent="0.2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row>
    <row r="57" spans="2:120" x14ac:dyDescent="0.2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row>
    <row r="58" spans="2:120" x14ac:dyDescent="0.25">
      <c r="B58" s="9"/>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row>
    <row r="59" spans="2:120" x14ac:dyDescent="0.2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row>
    <row r="60" spans="2:120" x14ac:dyDescent="0.2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row>
    <row r="61" spans="2:120" x14ac:dyDescent="0.2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row>
    <row r="62" spans="2:120" x14ac:dyDescent="0.2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row>
    <row r="63" spans="2:120" x14ac:dyDescent="0.2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row>
    <row r="64" spans="2:120" x14ac:dyDescent="0.25">
      <c r="B64" s="9"/>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row>
    <row r="65" spans="2:120" x14ac:dyDescent="0.2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row>
    <row r="66" spans="2:120" x14ac:dyDescent="0.2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row>
    <row r="67" spans="2:120" x14ac:dyDescent="0.2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row>
    <row r="68" spans="2:120" x14ac:dyDescent="0.2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row>
    <row r="69" spans="2:120" x14ac:dyDescent="0.25">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row>
    <row r="70" spans="2:120" x14ac:dyDescent="0.2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row>
    <row r="71" spans="2:120" x14ac:dyDescent="0.2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row>
    <row r="72" spans="2:120" x14ac:dyDescent="0.2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row>
    <row r="73" spans="2:120" x14ac:dyDescent="0.2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row>
    <row r="74" spans="2:120" x14ac:dyDescent="0.2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row>
    <row r="75" spans="2:120" x14ac:dyDescent="0.2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row>
    <row r="76" spans="2:120" x14ac:dyDescent="0.2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row>
    <row r="77" spans="2:120" x14ac:dyDescent="0.25">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row>
    <row r="78" spans="2:120" x14ac:dyDescent="0.2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row>
    <row r="79" spans="2:120" x14ac:dyDescent="0.2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row>
    <row r="80" spans="2:120" x14ac:dyDescent="0.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row>
    <row r="81" spans="2:120" x14ac:dyDescent="0.2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row>
    <row r="82" spans="2:120" x14ac:dyDescent="0.2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row>
    <row r="83" spans="2:120" x14ac:dyDescent="0.25">
      <c r="B83" s="9"/>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row>
    <row r="84" spans="2:120" x14ac:dyDescent="0.2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row>
    <row r="85" spans="2:120" x14ac:dyDescent="0.25">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row>
    <row r="86" spans="2:120" x14ac:dyDescent="0.2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row>
    <row r="87" spans="2:120" x14ac:dyDescent="0.25">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row>
    <row r="88" spans="2:120" x14ac:dyDescent="0.2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row>
    <row r="89" spans="2:120" x14ac:dyDescent="0.25">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row>
    <row r="90" spans="2:120" x14ac:dyDescent="0.25">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row>
    <row r="91" spans="2:120" x14ac:dyDescent="0.25">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row>
    <row r="92" spans="2:120" x14ac:dyDescent="0.25">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row>
    <row r="93" spans="2:120" x14ac:dyDescent="0.25">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row>
    <row r="94" spans="2:120" x14ac:dyDescent="0.25">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row>
    <row r="95" spans="2:120" x14ac:dyDescent="0.25">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row>
    <row r="96" spans="2:120" x14ac:dyDescent="0.2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row>
    <row r="97" spans="2:120" x14ac:dyDescent="0.25">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row>
    <row r="98" spans="2:120" x14ac:dyDescent="0.25">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row>
    <row r="99" spans="2:120" x14ac:dyDescent="0.25">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row>
    <row r="100" spans="2:120" x14ac:dyDescent="0.25">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row>
    <row r="101" spans="2:120" x14ac:dyDescent="0.25">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row>
    <row r="102" spans="2:120" x14ac:dyDescent="0.25">
      <c r="B102" s="9"/>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row>
    <row r="103" spans="2:120" x14ac:dyDescent="0.25">
      <c r="B103" s="13"/>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row>
    <row r="104" spans="2:120" x14ac:dyDescent="0.25">
      <c r="B104" s="13"/>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row>
    <row r="105" spans="2:120" x14ac:dyDescent="0.25">
      <c r="B105" s="13"/>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row>
    <row r="106" spans="2:120" x14ac:dyDescent="0.25">
      <c r="B106" s="13"/>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row>
    <row r="107" spans="2:120" x14ac:dyDescent="0.25">
      <c r="B107" s="13"/>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row>
    <row r="108" spans="2:120" x14ac:dyDescent="0.25">
      <c r="B108" s="13"/>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row>
    <row r="109" spans="2:120" x14ac:dyDescent="0.25">
      <c r="B109" s="14"/>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row>
    <row r="110" spans="2:120" x14ac:dyDescent="0.25">
      <c r="B110" s="13"/>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row>
    <row r="111" spans="2:120" x14ac:dyDescent="0.25">
      <c r="B111" s="13"/>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row>
    <row r="112" spans="2:120" x14ac:dyDescent="0.25">
      <c r="B112" s="13"/>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row>
    <row r="113" spans="2:120" x14ac:dyDescent="0.25">
      <c r="B113" s="13"/>
      <c r="C113" s="10"/>
      <c r="D113" s="10"/>
      <c r="E113" s="10"/>
      <c r="F113" s="15"/>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row>
    <row r="114" spans="2:120" x14ac:dyDescent="0.25">
      <c r="B114" s="13"/>
      <c r="C114" s="10"/>
      <c r="D114" s="10"/>
      <c r="E114" s="10"/>
      <c r="F114" s="15"/>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row>
    <row r="115" spans="2:120" x14ac:dyDescent="0.25">
      <c r="B115" s="13"/>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row>
    <row r="116" spans="2:120" x14ac:dyDescent="0.25">
      <c r="B116" s="13"/>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row>
    <row r="117" spans="2:120" x14ac:dyDescent="0.25">
      <c r="B117" s="13"/>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row>
    <row r="118" spans="2:120" x14ac:dyDescent="0.25">
      <c r="B118" s="13"/>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row>
    <row r="119" spans="2:120" x14ac:dyDescent="0.25">
      <c r="B119" s="13"/>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row>
    <row r="120" spans="2:120" x14ac:dyDescent="0.25">
      <c r="B120" s="13"/>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row>
    <row r="121" spans="2:120" x14ac:dyDescent="0.25">
      <c r="B121" s="14"/>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row>
    <row r="122" spans="2:120" x14ac:dyDescent="0.25">
      <c r="B122" s="13"/>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row>
    <row r="123" spans="2:120" x14ac:dyDescent="0.25">
      <c r="B123" s="13"/>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row>
    <row r="124" spans="2:120" x14ac:dyDescent="0.25">
      <c r="B124" s="13"/>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row>
    <row r="125" spans="2:120" x14ac:dyDescent="0.25">
      <c r="B125" s="13"/>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row>
    <row r="126" spans="2:120" x14ac:dyDescent="0.25">
      <c r="B126" s="13"/>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row>
    <row r="127" spans="2:120" x14ac:dyDescent="0.25">
      <c r="B127" s="14"/>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row>
    <row r="128" spans="2:120" x14ac:dyDescent="0.25">
      <c r="B128" s="13"/>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row>
    <row r="129" spans="2:120" x14ac:dyDescent="0.25">
      <c r="B129" s="13"/>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row>
    <row r="130" spans="2:120" x14ac:dyDescent="0.25">
      <c r="B130" s="13"/>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row>
    <row r="131" spans="2:120" x14ac:dyDescent="0.25">
      <c r="B131" s="13"/>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row>
    <row r="132" spans="2:120" x14ac:dyDescent="0.25">
      <c r="B132" s="13"/>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row>
    <row r="133" spans="2:120" x14ac:dyDescent="0.25">
      <c r="B133" s="13"/>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row>
    <row r="134" spans="2:120" x14ac:dyDescent="0.25">
      <c r="B134" s="13"/>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row>
    <row r="135" spans="2:120" x14ac:dyDescent="0.25">
      <c r="B135" s="13"/>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row>
    <row r="136" spans="2:120" x14ac:dyDescent="0.25">
      <c r="B136" s="13"/>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row>
    <row r="137" spans="2:120" x14ac:dyDescent="0.25">
      <c r="B137" s="13"/>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row>
    <row r="138" spans="2:120" x14ac:dyDescent="0.25">
      <c r="B138" s="13"/>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row>
    <row r="139" spans="2:120" x14ac:dyDescent="0.25">
      <c r="B139" s="13"/>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row>
    <row r="140" spans="2:120" x14ac:dyDescent="0.25">
      <c r="B140" s="13"/>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row>
    <row r="141" spans="2:120" x14ac:dyDescent="0.25">
      <c r="B141" s="13"/>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row>
    <row r="142" spans="2:120" x14ac:dyDescent="0.25">
      <c r="B142" s="13"/>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row>
    <row r="143" spans="2:120" x14ac:dyDescent="0.25">
      <c r="B143" s="13"/>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row>
    <row r="144" spans="2:120" x14ac:dyDescent="0.25">
      <c r="B144" s="13"/>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row>
    <row r="145" spans="2:120" x14ac:dyDescent="0.25">
      <c r="B145" s="13"/>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row>
    <row r="146" spans="2:120" x14ac:dyDescent="0.25">
      <c r="B146" s="13"/>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row>
    <row r="147" spans="2:120" x14ac:dyDescent="0.25">
      <c r="B147" s="13"/>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row>
    <row r="148" spans="2:120" x14ac:dyDescent="0.25">
      <c r="B148" s="13"/>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row>
    <row r="149" spans="2:120" x14ac:dyDescent="0.25">
      <c r="B149" s="13"/>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row>
    <row r="150" spans="2:120" x14ac:dyDescent="0.25">
      <c r="B150" s="13"/>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row>
    <row r="151" spans="2:120" x14ac:dyDescent="0.25">
      <c r="B151" s="13"/>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row>
    <row r="152" spans="2:120" x14ac:dyDescent="0.25">
      <c r="B152" s="13"/>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row>
    <row r="153" spans="2:120" x14ac:dyDescent="0.25">
      <c r="B153" s="13"/>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row>
    <row r="154" spans="2:120" x14ac:dyDescent="0.25">
      <c r="B154" s="13"/>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row>
    <row r="155" spans="2:120" x14ac:dyDescent="0.25">
      <c r="B155" s="13"/>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row>
    <row r="156" spans="2:120" x14ac:dyDescent="0.25">
      <c r="B156" s="13"/>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row>
    <row r="157" spans="2:120" x14ac:dyDescent="0.25">
      <c r="B157" s="13"/>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row>
    <row r="158" spans="2:120" x14ac:dyDescent="0.25">
      <c r="B158" s="13"/>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row>
    <row r="159" spans="2:120" x14ac:dyDescent="0.25">
      <c r="B159" s="13"/>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row>
    <row r="160" spans="2:120" x14ac:dyDescent="0.25">
      <c r="B160" s="13"/>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row>
    <row r="161" spans="2:120" x14ac:dyDescent="0.25">
      <c r="B161" s="13"/>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row>
    <row r="162" spans="2:120" x14ac:dyDescent="0.25">
      <c r="B162" s="13"/>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row>
    <row r="163" spans="2:120" x14ac:dyDescent="0.25">
      <c r="B163" s="13"/>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row>
    <row r="164" spans="2:120" x14ac:dyDescent="0.25">
      <c r="B164" s="13"/>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row>
    <row r="165" spans="2:120" x14ac:dyDescent="0.25">
      <c r="B165" s="13"/>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row>
    <row r="166" spans="2:120" x14ac:dyDescent="0.25">
      <c r="B166" s="13"/>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row>
    <row r="167" spans="2:120" x14ac:dyDescent="0.25">
      <c r="B167" s="13"/>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row>
    <row r="168" spans="2:120" x14ac:dyDescent="0.25">
      <c r="B168" s="13"/>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row>
    <row r="169" spans="2:120" x14ac:dyDescent="0.25">
      <c r="B169" s="13"/>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row>
    <row r="170" spans="2:120" x14ac:dyDescent="0.25">
      <c r="B170" s="13"/>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row>
    <row r="171" spans="2:120" x14ac:dyDescent="0.25">
      <c r="B171" s="13"/>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row>
    <row r="172" spans="2:120" x14ac:dyDescent="0.25">
      <c r="B172" s="13"/>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row>
    <row r="173" spans="2:120" x14ac:dyDescent="0.25">
      <c r="B173" s="13"/>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row>
    <row r="174" spans="2:120" x14ac:dyDescent="0.25">
      <c r="B174" s="13"/>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row>
    <row r="175" spans="2:120" x14ac:dyDescent="0.25">
      <c r="B175" s="13"/>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row>
    <row r="176" spans="2:120" x14ac:dyDescent="0.25">
      <c r="B176" s="13"/>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row>
    <row r="177" spans="2:120" x14ac:dyDescent="0.25">
      <c r="B177" s="13"/>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row>
    <row r="178" spans="2:120" x14ac:dyDescent="0.25">
      <c r="B178" s="13"/>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row>
    <row r="179" spans="2:120" x14ac:dyDescent="0.25">
      <c r="B179" s="13"/>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row>
    <row r="180" spans="2:120" x14ac:dyDescent="0.25">
      <c r="B180" s="13"/>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row>
    <row r="181" spans="2:120" x14ac:dyDescent="0.25">
      <c r="B181" s="13"/>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row>
    <row r="182" spans="2:120" x14ac:dyDescent="0.25">
      <c r="B182" s="13"/>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row>
    <row r="183" spans="2:120" x14ac:dyDescent="0.25">
      <c r="B183" s="13"/>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row>
    <row r="184" spans="2:120" x14ac:dyDescent="0.25">
      <c r="B184" s="13"/>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row>
    <row r="185" spans="2:120" x14ac:dyDescent="0.25">
      <c r="B185" s="13"/>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row>
    <row r="186" spans="2:120" x14ac:dyDescent="0.25">
      <c r="B186" s="13"/>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row>
    <row r="187" spans="2:120" x14ac:dyDescent="0.25">
      <c r="B187" s="13"/>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row>
    <row r="188" spans="2:120" x14ac:dyDescent="0.25">
      <c r="B188" s="13"/>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row>
    <row r="189" spans="2:120" x14ac:dyDescent="0.25">
      <c r="B189" s="13"/>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row>
    <row r="190" spans="2:120" x14ac:dyDescent="0.25">
      <c r="B190" s="13"/>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row>
    <row r="191" spans="2:120" x14ac:dyDescent="0.25">
      <c r="B191" s="13"/>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row>
    <row r="192" spans="2:120" x14ac:dyDescent="0.25">
      <c r="B192" s="13"/>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row>
    <row r="193" spans="2:120" x14ac:dyDescent="0.25">
      <c r="B193" s="13"/>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row>
    <row r="194" spans="2:120" x14ac:dyDescent="0.25">
      <c r="B194" s="13"/>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row>
    <row r="195" spans="2:120" x14ac:dyDescent="0.25">
      <c r="B195" s="13"/>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row>
    <row r="196" spans="2:120" x14ac:dyDescent="0.25">
      <c r="B196" s="13"/>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row>
    <row r="197" spans="2:120" x14ac:dyDescent="0.25">
      <c r="B197" s="13"/>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row>
    <row r="198" spans="2:120" x14ac:dyDescent="0.25">
      <c r="B198" s="13"/>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row>
    <row r="199" spans="2:120" x14ac:dyDescent="0.25">
      <c r="B199" s="13"/>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row>
    <row r="200" spans="2:120" x14ac:dyDescent="0.25">
      <c r="B200" s="13"/>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row>
    <row r="201" spans="2:120" x14ac:dyDescent="0.25">
      <c r="B201" s="13"/>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row>
    <row r="202" spans="2:120" x14ac:dyDescent="0.25">
      <c r="B202" s="13"/>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row>
    <row r="203" spans="2:120" x14ac:dyDescent="0.25">
      <c r="B203" s="13"/>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row>
    <row r="204" spans="2:120" x14ac:dyDescent="0.25">
      <c r="B204" s="13"/>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row>
    <row r="205" spans="2:120" x14ac:dyDescent="0.25">
      <c r="B205" s="13"/>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row>
    <row r="206" spans="2:120" x14ac:dyDescent="0.25">
      <c r="B206" s="13"/>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row>
    <row r="207" spans="2:120" x14ac:dyDescent="0.25">
      <c r="B207" s="13"/>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row>
    <row r="208" spans="2:120" x14ac:dyDescent="0.25">
      <c r="B208" s="13"/>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row>
    <row r="209" spans="2:120" x14ac:dyDescent="0.25">
      <c r="B209" s="13"/>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row>
    <row r="210" spans="2:120" x14ac:dyDescent="0.25">
      <c r="B210" s="13"/>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row>
    <row r="211" spans="2:120" x14ac:dyDescent="0.25">
      <c r="B211" s="13"/>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row>
    <row r="212" spans="2:120" x14ac:dyDescent="0.25">
      <c r="B212" s="13"/>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row>
    <row r="213" spans="2:120" x14ac:dyDescent="0.25">
      <c r="B213" s="13"/>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row>
    <row r="214" spans="2:120" x14ac:dyDescent="0.25">
      <c r="B214" s="13"/>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row>
    <row r="215" spans="2:120" x14ac:dyDescent="0.25">
      <c r="B215" s="13"/>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row>
    <row r="216" spans="2:120" x14ac:dyDescent="0.25">
      <c r="B216" s="13"/>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row>
    <row r="217" spans="2:120" x14ac:dyDescent="0.25">
      <c r="B217" s="13"/>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row>
    <row r="218" spans="2:120" x14ac:dyDescent="0.25">
      <c r="B218" s="13"/>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row>
    <row r="219" spans="2:120" x14ac:dyDescent="0.25">
      <c r="B219" s="13"/>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row>
    <row r="220" spans="2:120" x14ac:dyDescent="0.25">
      <c r="B220" s="13"/>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row>
    <row r="221" spans="2:120" x14ac:dyDescent="0.25">
      <c r="B221" s="13"/>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row>
    <row r="222" spans="2:120" x14ac:dyDescent="0.25">
      <c r="B222" s="13"/>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row>
    <row r="223" spans="2:120" x14ac:dyDescent="0.25">
      <c r="B223" s="13"/>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row>
    <row r="224" spans="2:120" x14ac:dyDescent="0.25">
      <c r="B224" s="13"/>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row>
    <row r="225" spans="2:120" x14ac:dyDescent="0.25">
      <c r="B225" s="13"/>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row>
    <row r="226" spans="2:120" x14ac:dyDescent="0.25">
      <c r="B226" s="13"/>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row>
    <row r="227" spans="2:120" x14ac:dyDescent="0.25">
      <c r="B227" s="13"/>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row>
    <row r="228" spans="2:120" x14ac:dyDescent="0.25">
      <c r="B228" s="13"/>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row>
    <row r="229" spans="2:120" x14ac:dyDescent="0.25">
      <c r="B229" s="13"/>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row>
    <row r="230" spans="2:120" x14ac:dyDescent="0.25">
      <c r="B230" s="13"/>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row>
    <row r="231" spans="2:120" x14ac:dyDescent="0.25">
      <c r="B231" s="13"/>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row>
    <row r="232" spans="2:120" x14ac:dyDescent="0.25">
      <c r="B232" s="13"/>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row>
    <row r="233" spans="2:120" x14ac:dyDescent="0.25">
      <c r="B233" s="13"/>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row>
    <row r="234" spans="2:120" x14ac:dyDescent="0.25">
      <c r="B234" s="13"/>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row>
    <row r="235" spans="2:120" x14ac:dyDescent="0.25">
      <c r="B235" s="13"/>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row>
    <row r="236" spans="2:120" x14ac:dyDescent="0.25">
      <c r="B236" s="13"/>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row>
    <row r="237" spans="2:120" x14ac:dyDescent="0.25">
      <c r="B237" s="13"/>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row>
    <row r="238" spans="2:120" x14ac:dyDescent="0.25">
      <c r="B238" s="13"/>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row>
    <row r="239" spans="2:120" x14ac:dyDescent="0.25">
      <c r="B239" s="13"/>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row>
    <row r="240" spans="2:120" x14ac:dyDescent="0.25">
      <c r="B240" s="13"/>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row>
    <row r="241" spans="2:120" x14ac:dyDescent="0.25">
      <c r="B241" s="13"/>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row>
    <row r="242" spans="2:120" x14ac:dyDescent="0.25">
      <c r="B242" s="13"/>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row>
    <row r="243" spans="2:120" x14ac:dyDescent="0.25">
      <c r="B243" s="13"/>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row>
    <row r="244" spans="2:120" x14ac:dyDescent="0.25">
      <c r="B244" s="13"/>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row>
    <row r="245" spans="2:120" x14ac:dyDescent="0.25">
      <c r="B245" s="13"/>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row>
    <row r="246" spans="2:120" x14ac:dyDescent="0.25">
      <c r="B246" s="13"/>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row>
    <row r="247" spans="2:120" x14ac:dyDescent="0.25">
      <c r="B247" s="13"/>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row>
    <row r="248" spans="2:120" x14ac:dyDescent="0.25">
      <c r="B248" s="13"/>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row>
    <row r="249" spans="2:120" x14ac:dyDescent="0.25">
      <c r="B249" s="13"/>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row>
    <row r="250" spans="2:120" x14ac:dyDescent="0.25">
      <c r="B250" s="13"/>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row>
    <row r="251" spans="2:120" x14ac:dyDescent="0.25">
      <c r="B251" s="13"/>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row>
    <row r="252" spans="2:120" x14ac:dyDescent="0.25">
      <c r="B252" s="13"/>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row>
    <row r="253" spans="2:120" x14ac:dyDescent="0.25">
      <c r="B253" s="13"/>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row>
    <row r="254" spans="2:120" x14ac:dyDescent="0.25">
      <c r="B254" s="13"/>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row>
    <row r="255" spans="2:120" x14ac:dyDescent="0.25">
      <c r="B255" s="13"/>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row>
    <row r="256" spans="2:120" x14ac:dyDescent="0.25">
      <c r="B256" s="13"/>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row>
    <row r="257" spans="2:120" x14ac:dyDescent="0.25">
      <c r="B257" s="13"/>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row>
    <row r="258" spans="2:120" x14ac:dyDescent="0.25">
      <c r="B258" s="13"/>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row>
    <row r="259" spans="2:120" x14ac:dyDescent="0.25">
      <c r="B259" s="13"/>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row>
    <row r="260" spans="2:120" x14ac:dyDescent="0.25">
      <c r="B260" s="13"/>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row>
    <row r="261" spans="2:120" x14ac:dyDescent="0.25">
      <c r="B261" s="13"/>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row>
    <row r="262" spans="2:120" x14ac:dyDescent="0.25">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row>
    <row r="263" spans="2:120" x14ac:dyDescent="0.25">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row>
    <row r="264" spans="2:120" x14ac:dyDescent="0.25">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row>
    <row r="265" spans="2:120" x14ac:dyDescent="0.25">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row>
    <row r="266" spans="2:120" x14ac:dyDescent="0.25">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row>
    <row r="267" spans="2:120" x14ac:dyDescent="0.25">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row>
    <row r="268" spans="2:120" x14ac:dyDescent="0.25">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row>
    <row r="269" spans="2:120" x14ac:dyDescent="0.25">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row>
    <row r="270" spans="2:120" x14ac:dyDescent="0.25">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row>
    <row r="271" spans="2:120" x14ac:dyDescent="0.25">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row>
    <row r="272" spans="2:120" x14ac:dyDescent="0.25">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row>
    <row r="273" spans="2:120" x14ac:dyDescent="0.25">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row>
    <row r="274" spans="2:120" x14ac:dyDescent="0.25">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row>
    <row r="275" spans="2:120" x14ac:dyDescent="0.25">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row>
    <row r="276" spans="2:120" x14ac:dyDescent="0.25">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row>
    <row r="277" spans="2:120" x14ac:dyDescent="0.25">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row>
    <row r="278" spans="2:120" x14ac:dyDescent="0.25">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row>
    <row r="279" spans="2:120" x14ac:dyDescent="0.25">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row>
    <row r="280" spans="2:120" x14ac:dyDescent="0.25">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row>
    <row r="281" spans="2:120" x14ac:dyDescent="0.25">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row>
    <row r="282" spans="2:120" x14ac:dyDescent="0.25">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row>
    <row r="283" spans="2:120" x14ac:dyDescent="0.25">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row>
    <row r="284" spans="2:120" x14ac:dyDescent="0.25">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row>
    <row r="285" spans="2:120" x14ac:dyDescent="0.25">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row>
    <row r="286" spans="2:120" x14ac:dyDescent="0.25">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row>
    <row r="287" spans="2:120" x14ac:dyDescent="0.25">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row>
    <row r="288" spans="2:120" x14ac:dyDescent="0.25">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row>
    <row r="289" spans="2:120" x14ac:dyDescent="0.25">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row>
    <row r="290" spans="2:120" x14ac:dyDescent="0.25">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row>
    <row r="291" spans="2:120" x14ac:dyDescent="0.25">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row>
    <row r="292" spans="2:120" x14ac:dyDescent="0.25">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row>
    <row r="293" spans="2:120" x14ac:dyDescent="0.25">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row>
    <row r="294" spans="2:120" x14ac:dyDescent="0.25">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row>
    <row r="295" spans="2:120" x14ac:dyDescent="0.25">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row>
    <row r="296" spans="2:120" x14ac:dyDescent="0.25">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row>
    <row r="297" spans="2:120" x14ac:dyDescent="0.25">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row>
    <row r="298" spans="2:120" x14ac:dyDescent="0.25">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row>
    <row r="299" spans="2:120" x14ac:dyDescent="0.25">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row>
    <row r="300" spans="2:120" x14ac:dyDescent="0.25">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row>
    <row r="301" spans="2:120" x14ac:dyDescent="0.25">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row>
    <row r="302" spans="2:120" x14ac:dyDescent="0.25">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row>
    <row r="303" spans="2:120" x14ac:dyDescent="0.25">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row>
    <row r="304" spans="2:120" x14ac:dyDescent="0.25">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row>
    <row r="305" spans="2:120" x14ac:dyDescent="0.25">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row>
    <row r="306" spans="2:120" x14ac:dyDescent="0.25">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row>
    <row r="307" spans="2:120" x14ac:dyDescent="0.25">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row>
    <row r="308" spans="2:120" x14ac:dyDescent="0.25">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row>
    <row r="309" spans="2:120" x14ac:dyDescent="0.25">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row>
    <row r="310" spans="2:120" x14ac:dyDescent="0.25">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row>
    <row r="311" spans="2:120" x14ac:dyDescent="0.25">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row>
    <row r="312" spans="2:120" x14ac:dyDescent="0.25">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row>
    <row r="313" spans="2:120" x14ac:dyDescent="0.25">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row>
    <row r="314" spans="2:120" x14ac:dyDescent="0.25">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row>
    <row r="315" spans="2:120" x14ac:dyDescent="0.25">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row>
    <row r="316" spans="2:120" x14ac:dyDescent="0.25">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row>
    <row r="317" spans="2:120" x14ac:dyDescent="0.25">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row>
    <row r="318" spans="2:120" x14ac:dyDescent="0.25">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row>
    <row r="319" spans="2:120" x14ac:dyDescent="0.25">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row>
    <row r="320" spans="2:120" x14ac:dyDescent="0.25">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row>
    <row r="321" spans="2:120" x14ac:dyDescent="0.25">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row>
    <row r="322" spans="2:120" x14ac:dyDescent="0.25">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row>
    <row r="323" spans="2:120" x14ac:dyDescent="0.25">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row>
    <row r="324" spans="2:120" x14ac:dyDescent="0.25">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row>
    <row r="325" spans="2:120" x14ac:dyDescent="0.25">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row>
    <row r="326" spans="2:120" x14ac:dyDescent="0.25">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row>
    <row r="327" spans="2:120" x14ac:dyDescent="0.25">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row>
    <row r="328" spans="2:120" x14ac:dyDescent="0.25">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row>
    <row r="329" spans="2:120" x14ac:dyDescent="0.25">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row>
    <row r="330" spans="2:120" x14ac:dyDescent="0.25">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row>
    <row r="331" spans="2:120" x14ac:dyDescent="0.25">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row>
    <row r="332" spans="2:120" x14ac:dyDescent="0.25">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row>
    <row r="333" spans="2:120" x14ac:dyDescent="0.25">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row>
    <row r="334" spans="2:120" x14ac:dyDescent="0.25">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row>
    <row r="335" spans="2:120" x14ac:dyDescent="0.25">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row>
    <row r="336" spans="2:120" x14ac:dyDescent="0.25">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row>
    <row r="337" spans="2:120" x14ac:dyDescent="0.25">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row>
    <row r="338" spans="2:120" x14ac:dyDescent="0.25">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row>
    <row r="339" spans="2:120" x14ac:dyDescent="0.25">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row>
    <row r="340" spans="2:120" x14ac:dyDescent="0.25">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row>
    <row r="341" spans="2:120" x14ac:dyDescent="0.25">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row>
    <row r="342" spans="2:120" x14ac:dyDescent="0.25">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row>
    <row r="343" spans="2:120" x14ac:dyDescent="0.25">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row>
    <row r="344" spans="2:120" x14ac:dyDescent="0.25">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row>
    <row r="345" spans="2:120" x14ac:dyDescent="0.25">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row>
    <row r="346" spans="2:120" x14ac:dyDescent="0.25">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row>
    <row r="347" spans="2:120" x14ac:dyDescent="0.25">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row>
    <row r="348" spans="2:120" x14ac:dyDescent="0.25">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row>
    <row r="349" spans="2:120" x14ac:dyDescent="0.25">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row>
    <row r="350" spans="2:120" x14ac:dyDescent="0.25">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row>
    <row r="351" spans="2:120" x14ac:dyDescent="0.25">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row>
    <row r="352" spans="2:120" x14ac:dyDescent="0.25">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row>
    <row r="353" spans="2:120" x14ac:dyDescent="0.25">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row>
    <row r="354" spans="2:120" x14ac:dyDescent="0.25">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row>
    <row r="355" spans="2:120" x14ac:dyDescent="0.25">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row>
    <row r="356" spans="2:120" x14ac:dyDescent="0.25">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row>
    <row r="357" spans="2:120" x14ac:dyDescent="0.25">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row>
    <row r="358" spans="2:120" x14ac:dyDescent="0.25">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row>
    <row r="359" spans="2:120" x14ac:dyDescent="0.25">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row>
    <row r="360" spans="2:120" x14ac:dyDescent="0.25">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row>
    <row r="361" spans="2:120" x14ac:dyDescent="0.25">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row>
    <row r="362" spans="2:120" x14ac:dyDescent="0.25">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row>
    <row r="363" spans="2:120" x14ac:dyDescent="0.25">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row>
    <row r="364" spans="2:120" x14ac:dyDescent="0.25">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row>
    <row r="365" spans="2:120" x14ac:dyDescent="0.25">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row>
    <row r="366" spans="2:120" x14ac:dyDescent="0.25">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row>
    <row r="367" spans="2:120" x14ac:dyDescent="0.25">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row>
    <row r="368" spans="2:120" x14ac:dyDescent="0.25">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row>
    <row r="369" spans="2:120" x14ac:dyDescent="0.25">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row>
    <row r="370" spans="2:120" x14ac:dyDescent="0.25">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row>
    <row r="371" spans="2:120" x14ac:dyDescent="0.25">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row>
    <row r="372" spans="2:120" x14ac:dyDescent="0.25">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row>
    <row r="373" spans="2:120" x14ac:dyDescent="0.25">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row>
    <row r="374" spans="2:120" x14ac:dyDescent="0.25">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row>
    <row r="375" spans="2:120" x14ac:dyDescent="0.25">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row>
    <row r="376" spans="2:120" x14ac:dyDescent="0.25">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row>
    <row r="377" spans="2:120" x14ac:dyDescent="0.25">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row>
    <row r="378" spans="2:120" x14ac:dyDescent="0.25">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row>
    <row r="379" spans="2:120" x14ac:dyDescent="0.25">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row>
    <row r="380" spans="2:120" x14ac:dyDescent="0.25">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row>
    <row r="381" spans="2:120" x14ac:dyDescent="0.25">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row>
    <row r="382" spans="2:120" x14ac:dyDescent="0.25">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row>
    <row r="383" spans="2:120" x14ac:dyDescent="0.25">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row>
    <row r="384" spans="2:120" x14ac:dyDescent="0.25">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row>
    <row r="385" spans="2:120" x14ac:dyDescent="0.25">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row>
    <row r="386" spans="2:120" x14ac:dyDescent="0.25">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row>
    <row r="387" spans="2:120" x14ac:dyDescent="0.25">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row>
    <row r="388" spans="2:120" x14ac:dyDescent="0.25">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row>
    <row r="389" spans="2:120" x14ac:dyDescent="0.25">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row>
    <row r="390" spans="2:120" x14ac:dyDescent="0.25">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row>
    <row r="391" spans="2:120" x14ac:dyDescent="0.25">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row>
    <row r="392" spans="2:120" x14ac:dyDescent="0.25">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row>
    <row r="393" spans="2:120" x14ac:dyDescent="0.25">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row>
    <row r="394" spans="2:120" x14ac:dyDescent="0.25">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row>
    <row r="395" spans="2:120" x14ac:dyDescent="0.25">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row>
    <row r="396" spans="2:120" x14ac:dyDescent="0.25">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row>
    <row r="397" spans="2:120" x14ac:dyDescent="0.25">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row>
    <row r="398" spans="2:120" x14ac:dyDescent="0.25">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row>
    <row r="399" spans="2:120" x14ac:dyDescent="0.25">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row>
    <row r="400" spans="2:120" x14ac:dyDescent="0.25">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row>
    <row r="401" spans="2:120" x14ac:dyDescent="0.25">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row>
    <row r="402" spans="2:120" x14ac:dyDescent="0.25">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row>
    <row r="403" spans="2:120" x14ac:dyDescent="0.25">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row>
    <row r="404" spans="2:120" x14ac:dyDescent="0.25">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row>
    <row r="405" spans="2:120" x14ac:dyDescent="0.25">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row>
    <row r="406" spans="2:120" x14ac:dyDescent="0.25">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row>
    <row r="407" spans="2:120" x14ac:dyDescent="0.25">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row>
    <row r="408" spans="2:120" x14ac:dyDescent="0.25">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row>
    <row r="409" spans="2:120" x14ac:dyDescent="0.25">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row>
    <row r="410" spans="2:120" x14ac:dyDescent="0.25">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row>
    <row r="411" spans="2:120" x14ac:dyDescent="0.25">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row>
    <row r="412" spans="2:120" x14ac:dyDescent="0.25">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row>
    <row r="413" spans="2:120" x14ac:dyDescent="0.25">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row>
    <row r="414" spans="2:120" x14ac:dyDescent="0.25">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row>
    <row r="415" spans="2:120" x14ac:dyDescent="0.25">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row>
    <row r="416" spans="2:120" x14ac:dyDescent="0.25">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row>
    <row r="417" spans="2:120" x14ac:dyDescent="0.25">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row>
    <row r="418" spans="2:120" x14ac:dyDescent="0.25">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row>
    <row r="419" spans="2:120" x14ac:dyDescent="0.25">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row>
    <row r="420" spans="2:120" x14ac:dyDescent="0.25">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row>
    <row r="421" spans="2:120" x14ac:dyDescent="0.25">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row>
    <row r="422" spans="2:120" x14ac:dyDescent="0.25">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row>
    <row r="423" spans="2:120" x14ac:dyDescent="0.25">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row>
    <row r="424" spans="2:120" x14ac:dyDescent="0.25">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row>
    <row r="425" spans="2:120" x14ac:dyDescent="0.25">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row>
    <row r="426" spans="2:120" x14ac:dyDescent="0.25">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row>
    <row r="427" spans="2:120" x14ac:dyDescent="0.25">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row>
    <row r="428" spans="2:120" x14ac:dyDescent="0.25">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row>
    <row r="429" spans="2:120" x14ac:dyDescent="0.25">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row>
    <row r="430" spans="2:120" x14ac:dyDescent="0.25">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row>
    <row r="431" spans="2:120" x14ac:dyDescent="0.25">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row>
    <row r="432" spans="2:120" x14ac:dyDescent="0.25">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row>
    <row r="433" spans="2:120" x14ac:dyDescent="0.25">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row>
    <row r="434" spans="2:120" x14ac:dyDescent="0.25">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row>
    <row r="435" spans="2:120" x14ac:dyDescent="0.25">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row>
    <row r="436" spans="2:120" x14ac:dyDescent="0.25">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row>
    <row r="437" spans="2:120" x14ac:dyDescent="0.25">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row>
    <row r="438" spans="2:120" x14ac:dyDescent="0.25">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row>
    <row r="439" spans="2:120" x14ac:dyDescent="0.25">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row>
    <row r="440" spans="2:120" x14ac:dyDescent="0.25">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row>
    <row r="441" spans="2:120" x14ac:dyDescent="0.25">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row>
    <row r="442" spans="2:120" x14ac:dyDescent="0.25">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row>
    <row r="443" spans="2:120" x14ac:dyDescent="0.25">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row>
    <row r="444" spans="2:120" x14ac:dyDescent="0.25">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row>
    <row r="445" spans="2:120" x14ac:dyDescent="0.25">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row>
    <row r="446" spans="2:120" x14ac:dyDescent="0.25">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row>
    <row r="447" spans="2:120" x14ac:dyDescent="0.25">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row>
    <row r="448" spans="2:120" x14ac:dyDescent="0.25">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row>
    <row r="449" spans="2:120" x14ac:dyDescent="0.25">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row>
    <row r="450" spans="2:120" x14ac:dyDescent="0.25">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row>
    <row r="451" spans="2:120" x14ac:dyDescent="0.25">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row>
    <row r="452" spans="2:120" x14ac:dyDescent="0.25">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row>
    <row r="453" spans="2:120" x14ac:dyDescent="0.25">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row>
    <row r="454" spans="2:120" x14ac:dyDescent="0.25">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row>
    <row r="455" spans="2:120" x14ac:dyDescent="0.25">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row>
    <row r="456" spans="2:120" x14ac:dyDescent="0.25">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row>
    <row r="457" spans="2:120" x14ac:dyDescent="0.25">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row>
    <row r="458" spans="2:120" x14ac:dyDescent="0.25">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row>
    <row r="459" spans="2:120" x14ac:dyDescent="0.25">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row>
    <row r="460" spans="2:120" x14ac:dyDescent="0.25">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row>
    <row r="461" spans="2:120" x14ac:dyDescent="0.25">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row>
    <row r="462" spans="2:120" x14ac:dyDescent="0.25">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row>
    <row r="463" spans="2:120" x14ac:dyDescent="0.25">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row>
    <row r="464" spans="2:120" x14ac:dyDescent="0.25">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c r="CH464" s="10"/>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row>
    <row r="465" spans="2:120" x14ac:dyDescent="0.25">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row>
    <row r="466" spans="2:120" x14ac:dyDescent="0.25">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row>
    <row r="467" spans="2:120" x14ac:dyDescent="0.25">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row>
    <row r="468" spans="2:120" x14ac:dyDescent="0.25">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row>
    <row r="469" spans="2:120" x14ac:dyDescent="0.25">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row>
    <row r="470" spans="2:120" x14ac:dyDescent="0.25">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row>
    <row r="471" spans="2:120" x14ac:dyDescent="0.25">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row>
    <row r="472" spans="2:120" x14ac:dyDescent="0.25">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row>
    <row r="473" spans="2:120" x14ac:dyDescent="0.25">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row>
    <row r="474" spans="2:120" x14ac:dyDescent="0.25">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row>
    <row r="475" spans="2:120" x14ac:dyDescent="0.25">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row>
    <row r="476" spans="2:120" x14ac:dyDescent="0.25">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row>
    <row r="477" spans="2:120" x14ac:dyDescent="0.25">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row>
    <row r="478" spans="2:120" x14ac:dyDescent="0.25">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row>
    <row r="479" spans="2:120" x14ac:dyDescent="0.25">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row>
    <row r="480" spans="2:120" x14ac:dyDescent="0.25">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row>
    <row r="481" spans="2:120" x14ac:dyDescent="0.25">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row>
    <row r="482" spans="2:120" x14ac:dyDescent="0.25">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row>
    <row r="483" spans="2:120" x14ac:dyDescent="0.25">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row>
    <row r="484" spans="2:120" x14ac:dyDescent="0.25">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row>
    <row r="485" spans="2:120" x14ac:dyDescent="0.25">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row>
    <row r="486" spans="2:120" x14ac:dyDescent="0.25">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row>
    <row r="487" spans="2:120" x14ac:dyDescent="0.25">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row>
    <row r="488" spans="2:120" x14ac:dyDescent="0.25">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row>
    <row r="489" spans="2:120" x14ac:dyDescent="0.25">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row>
    <row r="490" spans="2:120" x14ac:dyDescent="0.25">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row>
    <row r="491" spans="2:120" x14ac:dyDescent="0.25">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row>
    <row r="492" spans="2:120" x14ac:dyDescent="0.25">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c r="CH492" s="10"/>
      <c r="CI492" s="10"/>
      <c r="CJ492" s="10"/>
      <c r="CK492" s="10"/>
      <c r="CL492" s="10"/>
      <c r="CM492" s="10"/>
      <c r="CN492" s="10"/>
      <c r="CO492" s="10"/>
      <c r="CP492" s="10"/>
      <c r="CQ492" s="10"/>
      <c r="CR492" s="10"/>
      <c r="CS492" s="10"/>
      <c r="CT492" s="10"/>
      <c r="CU492" s="10"/>
      <c r="CV492" s="10"/>
      <c r="CW492" s="10"/>
      <c r="CX492" s="10"/>
      <c r="CY492" s="10"/>
      <c r="CZ492" s="10"/>
      <c r="DA492" s="10"/>
      <c r="DB492" s="10"/>
      <c r="DC492" s="10"/>
      <c r="DD492" s="10"/>
      <c r="DE492" s="10"/>
      <c r="DF492" s="10"/>
      <c r="DG492" s="10"/>
      <c r="DH492" s="10"/>
      <c r="DI492" s="10"/>
      <c r="DJ492" s="10"/>
      <c r="DK492" s="10"/>
      <c r="DL492" s="10"/>
      <c r="DM492" s="10"/>
      <c r="DN492" s="10"/>
      <c r="DO492" s="10"/>
      <c r="DP492" s="10"/>
    </row>
    <row r="493" spans="2:120" x14ac:dyDescent="0.25">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c r="CH493" s="10"/>
      <c r="CI493" s="10"/>
      <c r="CJ493" s="10"/>
      <c r="CK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row>
    <row r="494" spans="2:120" x14ac:dyDescent="0.25">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row>
    <row r="495" spans="2:120" x14ac:dyDescent="0.25">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row>
    <row r="496" spans="2:120" x14ac:dyDescent="0.25">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row>
    <row r="497" spans="2:120" x14ac:dyDescent="0.25">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row>
    <row r="498" spans="2:120" x14ac:dyDescent="0.25">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row>
    <row r="499" spans="2:120" x14ac:dyDescent="0.25">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row>
    <row r="500" spans="2:120" x14ac:dyDescent="0.25">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row>
    <row r="501" spans="2:120" x14ac:dyDescent="0.25">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row>
    <row r="502" spans="2:120" x14ac:dyDescent="0.25">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row>
    <row r="503" spans="2:120" x14ac:dyDescent="0.25">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row>
    <row r="504" spans="2:120" x14ac:dyDescent="0.25">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row>
    <row r="505" spans="2:120" x14ac:dyDescent="0.25">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c r="CH505" s="10"/>
      <c r="CI505" s="10"/>
      <c r="CJ505" s="10"/>
      <c r="CK505" s="10"/>
      <c r="CL505" s="10"/>
      <c r="CM505" s="10"/>
      <c r="CN505" s="10"/>
      <c r="CO505" s="10"/>
      <c r="CP505" s="10"/>
      <c r="CQ505" s="10"/>
      <c r="CR505" s="10"/>
      <c r="CS505" s="10"/>
      <c r="CT505" s="10"/>
      <c r="CU505" s="10"/>
      <c r="CV505" s="10"/>
      <c r="CW505" s="10"/>
      <c r="CX505" s="10"/>
      <c r="CY505" s="10"/>
      <c r="CZ505" s="10"/>
      <c r="DA505" s="10"/>
      <c r="DB505" s="10"/>
      <c r="DC505" s="10"/>
      <c r="DD505" s="10"/>
      <c r="DE505" s="10"/>
      <c r="DF505" s="10"/>
      <c r="DG505" s="10"/>
      <c r="DH505" s="10"/>
      <c r="DI505" s="10"/>
      <c r="DJ505" s="10"/>
      <c r="DK505" s="10"/>
      <c r="DL505" s="10"/>
      <c r="DM505" s="10"/>
      <c r="DN505" s="10"/>
      <c r="DO505" s="10"/>
      <c r="DP505" s="10"/>
    </row>
    <row r="506" spans="2:120" x14ac:dyDescent="0.25">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row>
    <row r="507" spans="2:120" x14ac:dyDescent="0.25">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c r="CH507" s="10"/>
      <c r="CI507" s="10"/>
      <c r="CJ507" s="10"/>
      <c r="CK507" s="10"/>
      <c r="CL507" s="10"/>
      <c r="CM507" s="10"/>
      <c r="CN507" s="10"/>
      <c r="CO507" s="10"/>
      <c r="CP507" s="10"/>
      <c r="CQ507" s="10"/>
      <c r="CR507" s="10"/>
      <c r="CS507" s="10"/>
      <c r="CT507" s="10"/>
      <c r="CU507" s="10"/>
      <c r="CV507" s="10"/>
      <c r="CW507" s="10"/>
      <c r="CX507" s="10"/>
      <c r="CY507" s="10"/>
      <c r="CZ507" s="10"/>
      <c r="DA507" s="10"/>
      <c r="DB507" s="10"/>
      <c r="DC507" s="10"/>
      <c r="DD507" s="10"/>
      <c r="DE507" s="10"/>
      <c r="DF507" s="10"/>
      <c r="DG507" s="10"/>
      <c r="DH507" s="10"/>
      <c r="DI507" s="10"/>
      <c r="DJ507" s="10"/>
      <c r="DK507" s="10"/>
      <c r="DL507" s="10"/>
      <c r="DM507" s="10"/>
      <c r="DN507" s="10"/>
      <c r="DO507" s="10"/>
      <c r="DP507" s="10"/>
    </row>
    <row r="508" spans="2:120" x14ac:dyDescent="0.25">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row>
    <row r="509" spans="2:120" x14ac:dyDescent="0.25">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row>
    <row r="510" spans="2:120" x14ac:dyDescent="0.25">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row>
    <row r="511" spans="2:120" x14ac:dyDescent="0.25">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c r="CH511" s="10"/>
      <c r="CI511" s="10"/>
      <c r="CJ511" s="10"/>
      <c r="CK511" s="10"/>
      <c r="CL511" s="10"/>
      <c r="CM511" s="10"/>
      <c r="CN511" s="10"/>
      <c r="CO511" s="10"/>
      <c r="CP511" s="10"/>
      <c r="CQ511" s="10"/>
      <c r="CR511" s="10"/>
      <c r="CS511" s="10"/>
      <c r="CT511" s="10"/>
      <c r="CU511" s="10"/>
      <c r="CV511" s="10"/>
      <c r="CW511" s="10"/>
      <c r="CX511" s="10"/>
      <c r="CY511" s="10"/>
      <c r="CZ511" s="10"/>
      <c r="DA511" s="10"/>
      <c r="DB511" s="10"/>
      <c r="DC511" s="10"/>
      <c r="DD511" s="10"/>
      <c r="DE511" s="10"/>
      <c r="DF511" s="10"/>
      <c r="DG511" s="10"/>
      <c r="DH511" s="10"/>
      <c r="DI511" s="10"/>
      <c r="DJ511" s="10"/>
      <c r="DK511" s="10"/>
      <c r="DL511" s="10"/>
      <c r="DM511" s="10"/>
      <c r="DN511" s="10"/>
      <c r="DO511" s="10"/>
      <c r="DP511" s="10"/>
    </row>
    <row r="512" spans="2:120" x14ac:dyDescent="0.25">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c r="CH512" s="10"/>
      <c r="CI512" s="10"/>
      <c r="CJ512" s="10"/>
      <c r="CK512" s="10"/>
      <c r="CL512" s="10"/>
      <c r="CM512" s="10"/>
      <c r="CN512" s="10"/>
      <c r="CO512" s="10"/>
      <c r="CP512" s="10"/>
      <c r="CQ512" s="10"/>
      <c r="CR512" s="10"/>
      <c r="CS512" s="10"/>
      <c r="CT512" s="10"/>
      <c r="CU512" s="10"/>
      <c r="CV512" s="10"/>
      <c r="CW512" s="10"/>
      <c r="CX512" s="10"/>
      <c r="CY512" s="10"/>
      <c r="CZ512" s="10"/>
      <c r="DA512" s="10"/>
      <c r="DB512" s="10"/>
      <c r="DC512" s="10"/>
      <c r="DD512" s="10"/>
      <c r="DE512" s="10"/>
      <c r="DF512" s="10"/>
      <c r="DG512" s="10"/>
      <c r="DH512" s="10"/>
      <c r="DI512" s="10"/>
      <c r="DJ512" s="10"/>
      <c r="DK512" s="10"/>
      <c r="DL512" s="10"/>
      <c r="DM512" s="10"/>
      <c r="DN512" s="10"/>
      <c r="DO512" s="10"/>
      <c r="DP512" s="10"/>
    </row>
    <row r="513" spans="2:120" x14ac:dyDescent="0.25">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c r="CH513" s="10"/>
      <c r="CI513" s="10"/>
      <c r="CJ513" s="10"/>
      <c r="CK513" s="10"/>
      <c r="CL513" s="10"/>
      <c r="CM513" s="10"/>
      <c r="CN513" s="10"/>
      <c r="CO513" s="10"/>
      <c r="CP513" s="10"/>
      <c r="CQ513" s="10"/>
      <c r="CR513" s="10"/>
      <c r="CS513" s="10"/>
      <c r="CT513" s="10"/>
      <c r="CU513" s="10"/>
      <c r="CV513" s="10"/>
      <c r="CW513" s="10"/>
      <c r="CX513" s="10"/>
      <c r="CY513" s="10"/>
      <c r="CZ513" s="10"/>
      <c r="DA513" s="10"/>
      <c r="DB513" s="10"/>
      <c r="DC513" s="10"/>
      <c r="DD513" s="10"/>
      <c r="DE513" s="10"/>
      <c r="DF513" s="10"/>
      <c r="DG513" s="10"/>
      <c r="DH513" s="10"/>
      <c r="DI513" s="10"/>
      <c r="DJ513" s="10"/>
      <c r="DK513" s="10"/>
      <c r="DL513" s="10"/>
      <c r="DM513" s="10"/>
      <c r="DN513" s="10"/>
      <c r="DO513" s="10"/>
      <c r="DP513" s="10"/>
    </row>
    <row r="514" spans="2:120" x14ac:dyDescent="0.25">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row>
    <row r="515" spans="2:120" x14ac:dyDescent="0.25">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c r="CP515" s="10"/>
      <c r="CQ515" s="10"/>
      <c r="CR515" s="10"/>
      <c r="CS515" s="10"/>
      <c r="CT515" s="10"/>
      <c r="CU515" s="10"/>
      <c r="CV515" s="10"/>
      <c r="CW515" s="10"/>
      <c r="CX515" s="10"/>
      <c r="CY515" s="10"/>
      <c r="CZ515" s="10"/>
      <c r="DA515" s="10"/>
      <c r="DB515" s="10"/>
      <c r="DC515" s="10"/>
      <c r="DD515" s="10"/>
      <c r="DE515" s="10"/>
      <c r="DF515" s="10"/>
      <c r="DG515" s="10"/>
      <c r="DH515" s="10"/>
      <c r="DI515" s="10"/>
      <c r="DJ515" s="10"/>
      <c r="DK515" s="10"/>
      <c r="DL515" s="10"/>
      <c r="DM515" s="10"/>
      <c r="DN515" s="10"/>
      <c r="DO515" s="10"/>
      <c r="DP515" s="10"/>
    </row>
    <row r="516" spans="2:120" x14ac:dyDescent="0.25">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c r="CH516" s="10"/>
      <c r="CI516" s="10"/>
      <c r="CJ516" s="10"/>
      <c r="CK516" s="10"/>
      <c r="CL516" s="10"/>
      <c r="CM516" s="10"/>
      <c r="CN516" s="10"/>
      <c r="CO516" s="10"/>
      <c r="CP516" s="10"/>
      <c r="CQ516" s="10"/>
      <c r="CR516" s="10"/>
      <c r="CS516" s="10"/>
      <c r="CT516" s="10"/>
      <c r="CU516" s="10"/>
      <c r="CV516" s="10"/>
      <c r="CW516" s="10"/>
      <c r="CX516" s="10"/>
      <c r="CY516" s="10"/>
      <c r="CZ516" s="10"/>
      <c r="DA516" s="10"/>
      <c r="DB516" s="10"/>
      <c r="DC516" s="10"/>
      <c r="DD516" s="10"/>
      <c r="DE516" s="10"/>
      <c r="DF516" s="10"/>
      <c r="DG516" s="10"/>
      <c r="DH516" s="10"/>
      <c r="DI516" s="10"/>
      <c r="DJ516" s="10"/>
      <c r="DK516" s="10"/>
      <c r="DL516" s="10"/>
      <c r="DM516" s="10"/>
      <c r="DN516" s="10"/>
      <c r="DO516" s="10"/>
      <c r="DP516" s="10"/>
    </row>
    <row r="517" spans="2:120" x14ac:dyDescent="0.25">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row>
    <row r="518" spans="2:120" x14ac:dyDescent="0.25">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c r="CP518" s="10"/>
      <c r="CQ518" s="10"/>
      <c r="CR518" s="10"/>
      <c r="CS518" s="10"/>
      <c r="CT518" s="10"/>
      <c r="CU518" s="10"/>
      <c r="CV518" s="10"/>
      <c r="CW518" s="10"/>
      <c r="CX518" s="10"/>
      <c r="CY518" s="10"/>
      <c r="CZ518" s="10"/>
      <c r="DA518" s="10"/>
      <c r="DB518" s="10"/>
      <c r="DC518" s="10"/>
      <c r="DD518" s="10"/>
      <c r="DE518" s="10"/>
      <c r="DF518" s="10"/>
      <c r="DG518" s="10"/>
      <c r="DH518" s="10"/>
      <c r="DI518" s="10"/>
      <c r="DJ518" s="10"/>
      <c r="DK518" s="10"/>
      <c r="DL518" s="10"/>
      <c r="DM518" s="10"/>
      <c r="DN518" s="10"/>
      <c r="DO518" s="10"/>
      <c r="DP518" s="10"/>
    </row>
    <row r="519" spans="2:120" x14ac:dyDescent="0.25">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row>
    <row r="520" spans="2:120" x14ac:dyDescent="0.25">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c r="CH520" s="10"/>
      <c r="CI520" s="10"/>
      <c r="CJ520" s="10"/>
      <c r="CK520" s="10"/>
      <c r="CL520" s="10"/>
      <c r="CM520" s="10"/>
      <c r="CN520" s="10"/>
      <c r="CO520" s="10"/>
      <c r="CP520" s="10"/>
      <c r="CQ520" s="10"/>
      <c r="CR520" s="10"/>
      <c r="CS520" s="10"/>
      <c r="CT520" s="10"/>
      <c r="CU520" s="10"/>
      <c r="CV520" s="10"/>
      <c r="CW520" s="10"/>
      <c r="CX520" s="10"/>
      <c r="CY520" s="10"/>
      <c r="CZ520" s="10"/>
      <c r="DA520" s="10"/>
      <c r="DB520" s="10"/>
      <c r="DC520" s="10"/>
      <c r="DD520" s="10"/>
      <c r="DE520" s="10"/>
      <c r="DF520" s="10"/>
      <c r="DG520" s="10"/>
      <c r="DH520" s="10"/>
      <c r="DI520" s="10"/>
      <c r="DJ520" s="10"/>
      <c r="DK520" s="10"/>
      <c r="DL520" s="10"/>
      <c r="DM520" s="10"/>
      <c r="DN520" s="10"/>
      <c r="DO520" s="10"/>
      <c r="DP520" s="10"/>
    </row>
    <row r="521" spans="2:120" x14ac:dyDescent="0.25">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c r="CH521" s="10"/>
      <c r="CI521" s="10"/>
      <c r="CJ521" s="10"/>
      <c r="CK521" s="10"/>
      <c r="CL521" s="10"/>
      <c r="CM521" s="10"/>
      <c r="CN521" s="10"/>
      <c r="CO521" s="10"/>
      <c r="CP521" s="10"/>
      <c r="CQ521" s="10"/>
      <c r="CR521" s="10"/>
      <c r="CS521" s="10"/>
      <c r="CT521" s="10"/>
      <c r="CU521" s="10"/>
      <c r="CV521" s="10"/>
      <c r="CW521" s="10"/>
      <c r="CX521" s="10"/>
      <c r="CY521" s="10"/>
      <c r="CZ521" s="10"/>
      <c r="DA521" s="10"/>
      <c r="DB521" s="10"/>
      <c r="DC521" s="10"/>
      <c r="DD521" s="10"/>
      <c r="DE521" s="10"/>
      <c r="DF521" s="10"/>
      <c r="DG521" s="10"/>
      <c r="DH521" s="10"/>
      <c r="DI521" s="10"/>
      <c r="DJ521" s="10"/>
      <c r="DK521" s="10"/>
      <c r="DL521" s="10"/>
      <c r="DM521" s="10"/>
      <c r="DN521" s="10"/>
      <c r="DO521" s="10"/>
      <c r="DP521" s="10"/>
    </row>
    <row r="522" spans="2:120" x14ac:dyDescent="0.25">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c r="CP522" s="10"/>
      <c r="CQ522" s="10"/>
      <c r="CR522" s="10"/>
      <c r="CS522" s="10"/>
      <c r="CT522" s="10"/>
      <c r="CU522" s="10"/>
      <c r="CV522" s="10"/>
      <c r="CW522" s="10"/>
      <c r="CX522" s="10"/>
      <c r="CY522" s="10"/>
      <c r="CZ522" s="10"/>
      <c r="DA522" s="10"/>
      <c r="DB522" s="10"/>
      <c r="DC522" s="10"/>
      <c r="DD522" s="10"/>
      <c r="DE522" s="10"/>
      <c r="DF522" s="10"/>
      <c r="DG522" s="10"/>
      <c r="DH522" s="10"/>
      <c r="DI522" s="10"/>
      <c r="DJ522" s="10"/>
      <c r="DK522" s="10"/>
      <c r="DL522" s="10"/>
      <c r="DM522" s="10"/>
      <c r="DN522" s="10"/>
      <c r="DO522" s="10"/>
      <c r="DP522" s="10"/>
    </row>
    <row r="523" spans="2:120" x14ac:dyDescent="0.25">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c r="CH523" s="10"/>
      <c r="CI523" s="10"/>
      <c r="CJ523" s="10"/>
      <c r="CK523" s="10"/>
      <c r="CL523" s="10"/>
      <c r="CM523" s="10"/>
      <c r="CN523" s="10"/>
      <c r="CO523" s="10"/>
      <c r="CP523" s="10"/>
      <c r="CQ523" s="10"/>
      <c r="CR523" s="10"/>
      <c r="CS523" s="10"/>
      <c r="CT523" s="10"/>
      <c r="CU523" s="10"/>
      <c r="CV523" s="10"/>
      <c r="CW523" s="10"/>
      <c r="CX523" s="10"/>
      <c r="CY523" s="10"/>
      <c r="CZ523" s="10"/>
      <c r="DA523" s="10"/>
      <c r="DB523" s="10"/>
      <c r="DC523" s="10"/>
      <c r="DD523" s="10"/>
      <c r="DE523" s="10"/>
      <c r="DF523" s="10"/>
      <c r="DG523" s="10"/>
      <c r="DH523" s="10"/>
      <c r="DI523" s="10"/>
      <c r="DJ523" s="10"/>
      <c r="DK523" s="10"/>
      <c r="DL523" s="10"/>
      <c r="DM523" s="10"/>
      <c r="DN523" s="10"/>
      <c r="DO523" s="10"/>
      <c r="DP523" s="10"/>
    </row>
    <row r="524" spans="2:120" x14ac:dyDescent="0.25">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10"/>
      <c r="CD524" s="10"/>
      <c r="CE524" s="10"/>
      <c r="CF524" s="10"/>
      <c r="CG524" s="10"/>
      <c r="CH524" s="10"/>
      <c r="CI524" s="10"/>
      <c r="CJ524" s="10"/>
      <c r="CK524" s="10"/>
      <c r="CL524" s="10"/>
      <c r="CM524" s="10"/>
      <c r="CN524" s="10"/>
      <c r="CO524" s="10"/>
      <c r="CP524" s="10"/>
      <c r="CQ524" s="10"/>
      <c r="CR524" s="10"/>
      <c r="CS524" s="10"/>
      <c r="CT524" s="10"/>
      <c r="CU524" s="10"/>
      <c r="CV524" s="10"/>
      <c r="CW524" s="10"/>
      <c r="CX524" s="10"/>
      <c r="CY524" s="10"/>
      <c r="CZ524" s="10"/>
      <c r="DA524" s="10"/>
      <c r="DB524" s="10"/>
      <c r="DC524" s="10"/>
      <c r="DD524" s="10"/>
      <c r="DE524" s="10"/>
      <c r="DF524" s="10"/>
      <c r="DG524" s="10"/>
      <c r="DH524" s="10"/>
      <c r="DI524" s="10"/>
      <c r="DJ524" s="10"/>
      <c r="DK524" s="10"/>
      <c r="DL524" s="10"/>
      <c r="DM524" s="10"/>
      <c r="DN524" s="10"/>
      <c r="DO524" s="10"/>
      <c r="DP524" s="10"/>
    </row>
    <row r="525" spans="2:120" x14ac:dyDescent="0.25">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c r="CH525" s="10"/>
      <c r="CI525" s="10"/>
      <c r="CJ525" s="10"/>
      <c r="CK525" s="10"/>
      <c r="CL525" s="10"/>
      <c r="CM525" s="10"/>
      <c r="CN525" s="10"/>
      <c r="CO525" s="10"/>
      <c r="CP525" s="10"/>
      <c r="CQ525" s="10"/>
      <c r="CR525" s="10"/>
      <c r="CS525" s="10"/>
      <c r="CT525" s="10"/>
      <c r="CU525" s="10"/>
      <c r="CV525" s="10"/>
      <c r="CW525" s="10"/>
      <c r="CX525" s="10"/>
      <c r="CY525" s="10"/>
      <c r="CZ525" s="10"/>
      <c r="DA525" s="10"/>
      <c r="DB525" s="10"/>
      <c r="DC525" s="10"/>
      <c r="DD525" s="10"/>
      <c r="DE525" s="10"/>
      <c r="DF525" s="10"/>
      <c r="DG525" s="10"/>
      <c r="DH525" s="10"/>
      <c r="DI525" s="10"/>
      <c r="DJ525" s="10"/>
      <c r="DK525" s="10"/>
      <c r="DL525" s="10"/>
      <c r="DM525" s="10"/>
      <c r="DN525" s="10"/>
      <c r="DO525" s="10"/>
      <c r="DP525" s="10"/>
    </row>
    <row r="526" spans="2:120" x14ac:dyDescent="0.25">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c r="CH526" s="10"/>
      <c r="CI526" s="10"/>
      <c r="CJ526" s="10"/>
      <c r="CK526" s="10"/>
      <c r="CL526" s="10"/>
      <c r="CM526" s="10"/>
      <c r="CN526" s="10"/>
      <c r="CO526" s="10"/>
      <c r="CP526" s="10"/>
      <c r="CQ526" s="10"/>
      <c r="CR526" s="10"/>
      <c r="CS526" s="10"/>
      <c r="CT526" s="10"/>
      <c r="CU526" s="10"/>
      <c r="CV526" s="10"/>
      <c r="CW526" s="10"/>
      <c r="CX526" s="10"/>
      <c r="CY526" s="10"/>
      <c r="CZ526" s="10"/>
      <c r="DA526" s="10"/>
      <c r="DB526" s="10"/>
      <c r="DC526" s="10"/>
      <c r="DD526" s="10"/>
      <c r="DE526" s="10"/>
      <c r="DF526" s="10"/>
      <c r="DG526" s="10"/>
      <c r="DH526" s="10"/>
      <c r="DI526" s="10"/>
      <c r="DJ526" s="10"/>
      <c r="DK526" s="10"/>
      <c r="DL526" s="10"/>
      <c r="DM526" s="10"/>
      <c r="DN526" s="10"/>
      <c r="DO526" s="10"/>
      <c r="DP526" s="10"/>
    </row>
    <row r="527" spans="2:120" x14ac:dyDescent="0.25">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c r="CH527" s="10"/>
      <c r="CI527" s="10"/>
      <c r="CJ527" s="10"/>
      <c r="CK527" s="10"/>
      <c r="CL527" s="10"/>
      <c r="CM527" s="10"/>
      <c r="CN527" s="10"/>
      <c r="CO527" s="10"/>
      <c r="CP527" s="10"/>
      <c r="CQ527" s="10"/>
      <c r="CR527" s="10"/>
      <c r="CS527" s="10"/>
      <c r="CT527" s="10"/>
      <c r="CU527" s="10"/>
      <c r="CV527" s="10"/>
      <c r="CW527" s="10"/>
      <c r="CX527" s="10"/>
      <c r="CY527" s="10"/>
      <c r="CZ527" s="10"/>
      <c r="DA527" s="10"/>
      <c r="DB527" s="10"/>
      <c r="DC527" s="10"/>
      <c r="DD527" s="10"/>
      <c r="DE527" s="10"/>
      <c r="DF527" s="10"/>
      <c r="DG527" s="10"/>
      <c r="DH527" s="10"/>
      <c r="DI527" s="10"/>
      <c r="DJ527" s="10"/>
      <c r="DK527" s="10"/>
      <c r="DL527" s="10"/>
      <c r="DM527" s="10"/>
      <c r="DN527" s="10"/>
      <c r="DO527" s="10"/>
      <c r="DP527" s="10"/>
    </row>
    <row r="528" spans="2:120" x14ac:dyDescent="0.25">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c r="CH528" s="10"/>
      <c r="CI528" s="10"/>
      <c r="CJ528" s="10"/>
      <c r="CK528" s="10"/>
      <c r="CL528" s="10"/>
      <c r="CM528" s="10"/>
      <c r="CN528" s="10"/>
      <c r="CO528" s="10"/>
      <c r="CP528" s="10"/>
      <c r="CQ528" s="10"/>
      <c r="CR528" s="10"/>
      <c r="CS528" s="10"/>
      <c r="CT528" s="10"/>
      <c r="CU528" s="10"/>
      <c r="CV528" s="10"/>
      <c r="CW528" s="10"/>
      <c r="CX528" s="10"/>
      <c r="CY528" s="10"/>
      <c r="CZ528" s="10"/>
      <c r="DA528" s="10"/>
      <c r="DB528" s="10"/>
      <c r="DC528" s="10"/>
      <c r="DD528" s="10"/>
      <c r="DE528" s="10"/>
      <c r="DF528" s="10"/>
      <c r="DG528" s="10"/>
      <c r="DH528" s="10"/>
      <c r="DI528" s="10"/>
      <c r="DJ528" s="10"/>
      <c r="DK528" s="10"/>
      <c r="DL528" s="10"/>
      <c r="DM528" s="10"/>
      <c r="DN528" s="10"/>
      <c r="DO528" s="10"/>
      <c r="DP528" s="10"/>
    </row>
    <row r="529" spans="2:120" x14ac:dyDescent="0.25">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row>
    <row r="530" spans="2:120" x14ac:dyDescent="0.25">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c r="CH530" s="10"/>
      <c r="CI530" s="10"/>
      <c r="CJ530" s="10"/>
      <c r="CK530" s="10"/>
      <c r="CL530" s="10"/>
      <c r="CM530" s="10"/>
      <c r="CN530" s="10"/>
      <c r="CO530" s="10"/>
      <c r="CP530" s="10"/>
      <c r="CQ530" s="10"/>
      <c r="CR530" s="10"/>
      <c r="CS530" s="10"/>
      <c r="CT530" s="10"/>
      <c r="CU530" s="10"/>
      <c r="CV530" s="10"/>
      <c r="CW530" s="10"/>
      <c r="CX530" s="10"/>
      <c r="CY530" s="10"/>
      <c r="CZ530" s="10"/>
      <c r="DA530" s="10"/>
      <c r="DB530" s="10"/>
      <c r="DC530" s="10"/>
      <c r="DD530" s="10"/>
      <c r="DE530" s="10"/>
      <c r="DF530" s="10"/>
      <c r="DG530" s="10"/>
      <c r="DH530" s="10"/>
      <c r="DI530" s="10"/>
      <c r="DJ530" s="10"/>
      <c r="DK530" s="10"/>
      <c r="DL530" s="10"/>
      <c r="DM530" s="10"/>
      <c r="DN530" s="10"/>
      <c r="DO530" s="10"/>
      <c r="DP530" s="10"/>
    </row>
    <row r="531" spans="2:120" x14ac:dyDescent="0.25">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c r="CH531" s="10"/>
      <c r="CI531" s="10"/>
      <c r="CJ531" s="10"/>
      <c r="CK531" s="10"/>
      <c r="CL531" s="10"/>
      <c r="CM531" s="10"/>
      <c r="CN531" s="10"/>
      <c r="CO531" s="10"/>
      <c r="CP531" s="10"/>
      <c r="CQ531" s="10"/>
      <c r="CR531" s="10"/>
      <c r="CS531" s="10"/>
      <c r="CT531" s="10"/>
      <c r="CU531" s="10"/>
      <c r="CV531" s="10"/>
      <c r="CW531" s="10"/>
      <c r="CX531" s="10"/>
      <c r="CY531" s="10"/>
      <c r="CZ531" s="10"/>
      <c r="DA531" s="10"/>
      <c r="DB531" s="10"/>
      <c r="DC531" s="10"/>
      <c r="DD531" s="10"/>
      <c r="DE531" s="10"/>
      <c r="DF531" s="10"/>
      <c r="DG531" s="10"/>
      <c r="DH531" s="10"/>
      <c r="DI531" s="10"/>
      <c r="DJ531" s="10"/>
      <c r="DK531" s="10"/>
      <c r="DL531" s="10"/>
      <c r="DM531" s="10"/>
      <c r="DN531" s="10"/>
      <c r="DO531" s="10"/>
      <c r="DP531" s="10"/>
    </row>
    <row r="532" spans="2:120" x14ac:dyDescent="0.25">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c r="CH532" s="10"/>
      <c r="CI532" s="10"/>
      <c r="CJ532" s="10"/>
      <c r="CK532" s="10"/>
      <c r="CL532" s="10"/>
      <c r="CM532" s="10"/>
      <c r="CN532" s="10"/>
      <c r="CO532" s="10"/>
      <c r="CP532" s="10"/>
      <c r="CQ532" s="10"/>
      <c r="CR532" s="10"/>
      <c r="CS532" s="10"/>
      <c r="CT532" s="10"/>
      <c r="CU532" s="10"/>
      <c r="CV532" s="10"/>
      <c r="CW532" s="10"/>
      <c r="CX532" s="10"/>
      <c r="CY532" s="10"/>
      <c r="CZ532" s="10"/>
      <c r="DA532" s="10"/>
      <c r="DB532" s="10"/>
      <c r="DC532" s="10"/>
      <c r="DD532" s="10"/>
      <c r="DE532" s="10"/>
      <c r="DF532" s="10"/>
      <c r="DG532" s="10"/>
      <c r="DH532" s="10"/>
      <c r="DI532" s="10"/>
      <c r="DJ532" s="10"/>
      <c r="DK532" s="10"/>
      <c r="DL532" s="10"/>
      <c r="DM532" s="10"/>
      <c r="DN532" s="10"/>
      <c r="DO532" s="10"/>
      <c r="DP532" s="10"/>
    </row>
    <row r="533" spans="2:120" x14ac:dyDescent="0.25">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c r="CH533" s="10"/>
      <c r="CI533" s="10"/>
      <c r="CJ533" s="10"/>
      <c r="CK533" s="10"/>
      <c r="CL533" s="10"/>
      <c r="CM533" s="10"/>
      <c r="CN533" s="10"/>
      <c r="CO533" s="10"/>
      <c r="CP533" s="10"/>
      <c r="CQ533" s="10"/>
      <c r="CR533" s="10"/>
      <c r="CS533" s="10"/>
      <c r="CT533" s="10"/>
      <c r="CU533" s="10"/>
      <c r="CV533" s="10"/>
      <c r="CW533" s="10"/>
      <c r="CX533" s="10"/>
      <c r="CY533" s="10"/>
      <c r="CZ533" s="10"/>
      <c r="DA533" s="10"/>
      <c r="DB533" s="10"/>
      <c r="DC533" s="10"/>
      <c r="DD533" s="10"/>
      <c r="DE533" s="10"/>
      <c r="DF533" s="10"/>
      <c r="DG533" s="10"/>
      <c r="DH533" s="10"/>
      <c r="DI533" s="10"/>
      <c r="DJ533" s="10"/>
      <c r="DK533" s="10"/>
      <c r="DL533" s="10"/>
      <c r="DM533" s="10"/>
      <c r="DN533" s="10"/>
      <c r="DO533" s="10"/>
      <c r="DP533" s="10"/>
    </row>
    <row r="534" spans="2:120" x14ac:dyDescent="0.25">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c r="CH534" s="10"/>
      <c r="CI534" s="10"/>
      <c r="CJ534" s="10"/>
      <c r="CK534" s="10"/>
      <c r="CL534" s="10"/>
      <c r="CM534" s="10"/>
      <c r="CN534" s="10"/>
      <c r="CO534" s="10"/>
      <c r="CP534" s="10"/>
      <c r="CQ534" s="10"/>
      <c r="CR534" s="10"/>
      <c r="CS534" s="10"/>
      <c r="CT534" s="10"/>
      <c r="CU534" s="10"/>
      <c r="CV534" s="10"/>
      <c r="CW534" s="10"/>
      <c r="CX534" s="10"/>
      <c r="CY534" s="10"/>
      <c r="CZ534" s="10"/>
      <c r="DA534" s="10"/>
      <c r="DB534" s="10"/>
      <c r="DC534" s="10"/>
      <c r="DD534" s="10"/>
      <c r="DE534" s="10"/>
      <c r="DF534" s="10"/>
      <c r="DG534" s="10"/>
      <c r="DH534" s="10"/>
      <c r="DI534" s="10"/>
      <c r="DJ534" s="10"/>
      <c r="DK534" s="10"/>
      <c r="DL534" s="10"/>
      <c r="DM534" s="10"/>
      <c r="DN534" s="10"/>
      <c r="DO534" s="10"/>
      <c r="DP534" s="10"/>
    </row>
    <row r="535" spans="2:120" x14ac:dyDescent="0.25">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c r="CH535" s="10"/>
      <c r="CI535" s="10"/>
      <c r="CJ535" s="10"/>
      <c r="CK535" s="10"/>
      <c r="CL535" s="10"/>
      <c r="CM535" s="10"/>
      <c r="CN535" s="10"/>
      <c r="CO535" s="10"/>
      <c r="CP535" s="10"/>
      <c r="CQ535" s="10"/>
      <c r="CR535" s="10"/>
      <c r="CS535" s="10"/>
      <c r="CT535" s="10"/>
      <c r="CU535" s="10"/>
      <c r="CV535" s="10"/>
      <c r="CW535" s="10"/>
      <c r="CX535" s="10"/>
      <c r="CY535" s="10"/>
      <c r="CZ535" s="10"/>
      <c r="DA535" s="10"/>
      <c r="DB535" s="10"/>
      <c r="DC535" s="10"/>
      <c r="DD535" s="10"/>
      <c r="DE535" s="10"/>
      <c r="DF535" s="10"/>
      <c r="DG535" s="10"/>
      <c r="DH535" s="10"/>
      <c r="DI535" s="10"/>
      <c r="DJ535" s="10"/>
      <c r="DK535" s="10"/>
      <c r="DL535" s="10"/>
      <c r="DM535" s="10"/>
      <c r="DN535" s="10"/>
      <c r="DO535" s="10"/>
      <c r="DP535" s="10"/>
    </row>
    <row r="536" spans="2:120" x14ac:dyDescent="0.25">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c r="CH536" s="10"/>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row>
    <row r="537" spans="2:120" x14ac:dyDescent="0.25">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c r="CH537" s="10"/>
      <c r="CI537" s="10"/>
      <c r="CJ537" s="10"/>
      <c r="CK537" s="10"/>
      <c r="CL537" s="10"/>
      <c r="CM537" s="10"/>
      <c r="CN537" s="10"/>
      <c r="CO537" s="10"/>
      <c r="CP537" s="10"/>
      <c r="CQ537" s="10"/>
      <c r="CR537" s="10"/>
      <c r="CS537" s="10"/>
      <c r="CT537" s="10"/>
      <c r="CU537" s="10"/>
      <c r="CV537" s="10"/>
      <c r="CW537" s="10"/>
      <c r="CX537" s="10"/>
      <c r="CY537" s="10"/>
      <c r="CZ537" s="10"/>
      <c r="DA537" s="10"/>
      <c r="DB537" s="10"/>
      <c r="DC537" s="10"/>
      <c r="DD537" s="10"/>
      <c r="DE537" s="10"/>
      <c r="DF537" s="10"/>
      <c r="DG537" s="10"/>
      <c r="DH537" s="10"/>
      <c r="DI537" s="10"/>
      <c r="DJ537" s="10"/>
      <c r="DK537" s="10"/>
      <c r="DL537" s="10"/>
      <c r="DM537" s="10"/>
      <c r="DN537" s="10"/>
      <c r="DO537" s="10"/>
      <c r="DP537" s="10"/>
    </row>
    <row r="538" spans="2:120" x14ac:dyDescent="0.25">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10"/>
      <c r="CD538" s="10"/>
      <c r="CE538" s="10"/>
      <c r="CF538" s="10"/>
      <c r="CG538" s="10"/>
      <c r="CH538" s="10"/>
      <c r="CI538" s="10"/>
      <c r="CJ538" s="10"/>
      <c r="CK538" s="10"/>
      <c r="CL538" s="10"/>
      <c r="CM538" s="10"/>
      <c r="CN538" s="10"/>
      <c r="CO538" s="10"/>
      <c r="CP538" s="10"/>
      <c r="CQ538" s="10"/>
      <c r="CR538" s="10"/>
      <c r="CS538" s="10"/>
      <c r="CT538" s="10"/>
      <c r="CU538" s="10"/>
      <c r="CV538" s="10"/>
      <c r="CW538" s="10"/>
      <c r="CX538" s="10"/>
      <c r="CY538" s="10"/>
      <c r="CZ538" s="10"/>
      <c r="DA538" s="10"/>
      <c r="DB538" s="10"/>
      <c r="DC538" s="10"/>
      <c r="DD538" s="10"/>
      <c r="DE538" s="10"/>
      <c r="DF538" s="10"/>
      <c r="DG538" s="10"/>
      <c r="DH538" s="10"/>
      <c r="DI538" s="10"/>
      <c r="DJ538" s="10"/>
      <c r="DK538" s="10"/>
      <c r="DL538" s="10"/>
      <c r="DM538" s="10"/>
      <c r="DN538" s="10"/>
      <c r="DO538" s="10"/>
      <c r="DP538" s="10"/>
    </row>
    <row r="539" spans="2:120" x14ac:dyDescent="0.25">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10"/>
      <c r="CD539" s="10"/>
      <c r="CE539" s="10"/>
      <c r="CF539" s="10"/>
      <c r="CG539" s="10"/>
      <c r="CH539" s="10"/>
      <c r="CI539" s="10"/>
      <c r="CJ539" s="10"/>
      <c r="CK539" s="10"/>
      <c r="CL539" s="10"/>
      <c r="CM539" s="10"/>
      <c r="CN539" s="10"/>
      <c r="CO539" s="10"/>
      <c r="CP539" s="10"/>
      <c r="CQ539" s="10"/>
      <c r="CR539" s="10"/>
      <c r="CS539" s="10"/>
      <c r="CT539" s="10"/>
      <c r="CU539" s="10"/>
      <c r="CV539" s="10"/>
      <c r="CW539" s="10"/>
      <c r="CX539" s="10"/>
      <c r="CY539" s="10"/>
      <c r="CZ539" s="10"/>
      <c r="DA539" s="10"/>
      <c r="DB539" s="10"/>
      <c r="DC539" s="10"/>
      <c r="DD539" s="10"/>
      <c r="DE539" s="10"/>
      <c r="DF539" s="10"/>
      <c r="DG539" s="10"/>
      <c r="DH539" s="10"/>
      <c r="DI539" s="10"/>
      <c r="DJ539" s="10"/>
      <c r="DK539" s="10"/>
      <c r="DL539" s="10"/>
      <c r="DM539" s="10"/>
      <c r="DN539" s="10"/>
      <c r="DO539" s="10"/>
      <c r="DP539" s="10"/>
    </row>
    <row r="540" spans="2:120" x14ac:dyDescent="0.25">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c r="CH540" s="10"/>
      <c r="CI540" s="10"/>
      <c r="CJ540" s="10"/>
      <c r="CK540" s="10"/>
      <c r="CL540" s="10"/>
      <c r="CM540" s="10"/>
      <c r="CN540" s="10"/>
      <c r="CO540" s="10"/>
      <c r="CP540" s="10"/>
      <c r="CQ540" s="10"/>
      <c r="CR540" s="10"/>
      <c r="CS540" s="10"/>
      <c r="CT540" s="10"/>
      <c r="CU540" s="10"/>
      <c r="CV540" s="10"/>
      <c r="CW540" s="10"/>
      <c r="CX540" s="10"/>
      <c r="CY540" s="10"/>
      <c r="CZ540" s="10"/>
      <c r="DA540" s="10"/>
      <c r="DB540" s="10"/>
      <c r="DC540" s="10"/>
      <c r="DD540" s="10"/>
      <c r="DE540" s="10"/>
      <c r="DF540" s="10"/>
      <c r="DG540" s="10"/>
      <c r="DH540" s="10"/>
      <c r="DI540" s="10"/>
      <c r="DJ540" s="10"/>
      <c r="DK540" s="10"/>
      <c r="DL540" s="10"/>
      <c r="DM540" s="10"/>
      <c r="DN540" s="10"/>
      <c r="DO540" s="10"/>
      <c r="DP540" s="10"/>
    </row>
    <row r="541" spans="2:120" x14ac:dyDescent="0.25">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c r="CH541" s="10"/>
      <c r="CI541" s="10"/>
      <c r="CJ541" s="10"/>
      <c r="CK541" s="10"/>
      <c r="CL541" s="10"/>
      <c r="CM541" s="10"/>
      <c r="CN541" s="10"/>
      <c r="CO541" s="10"/>
      <c r="CP541" s="10"/>
      <c r="CQ541" s="10"/>
      <c r="CR541" s="10"/>
      <c r="CS541" s="10"/>
      <c r="CT541" s="10"/>
      <c r="CU541" s="10"/>
      <c r="CV541" s="10"/>
      <c r="CW541" s="10"/>
      <c r="CX541" s="10"/>
      <c r="CY541" s="10"/>
      <c r="CZ541" s="10"/>
      <c r="DA541" s="10"/>
      <c r="DB541" s="10"/>
      <c r="DC541" s="10"/>
      <c r="DD541" s="10"/>
      <c r="DE541" s="10"/>
      <c r="DF541" s="10"/>
      <c r="DG541" s="10"/>
      <c r="DH541" s="10"/>
      <c r="DI541" s="10"/>
      <c r="DJ541" s="10"/>
      <c r="DK541" s="10"/>
      <c r="DL541" s="10"/>
      <c r="DM541" s="10"/>
      <c r="DN541" s="10"/>
      <c r="DO541" s="10"/>
      <c r="DP541" s="10"/>
    </row>
    <row r="542" spans="2:120" x14ac:dyDescent="0.25">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c r="CH542" s="10"/>
      <c r="CI542" s="10"/>
      <c r="CJ542" s="10"/>
      <c r="CK542" s="10"/>
      <c r="CL542" s="10"/>
      <c r="CM542" s="10"/>
      <c r="CN542" s="10"/>
      <c r="CO542" s="10"/>
      <c r="CP542" s="10"/>
      <c r="CQ542" s="10"/>
      <c r="CR542" s="10"/>
      <c r="CS542" s="10"/>
      <c r="CT542" s="10"/>
      <c r="CU542" s="10"/>
      <c r="CV542" s="10"/>
      <c r="CW542" s="10"/>
      <c r="CX542" s="10"/>
      <c r="CY542" s="10"/>
      <c r="CZ542" s="10"/>
      <c r="DA542" s="10"/>
      <c r="DB542" s="10"/>
      <c r="DC542" s="10"/>
      <c r="DD542" s="10"/>
      <c r="DE542" s="10"/>
      <c r="DF542" s="10"/>
      <c r="DG542" s="10"/>
      <c r="DH542" s="10"/>
      <c r="DI542" s="10"/>
      <c r="DJ542" s="10"/>
      <c r="DK542" s="10"/>
      <c r="DL542" s="10"/>
      <c r="DM542" s="10"/>
      <c r="DN542" s="10"/>
      <c r="DO542" s="10"/>
      <c r="DP542" s="10"/>
    </row>
    <row r="543" spans="2:120" x14ac:dyDescent="0.25">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c r="CH543" s="10"/>
      <c r="CI543" s="10"/>
      <c r="CJ543" s="10"/>
      <c r="CK543" s="10"/>
      <c r="CL543" s="10"/>
      <c r="CM543" s="10"/>
      <c r="CN543" s="10"/>
      <c r="CO543" s="10"/>
      <c r="CP543" s="10"/>
      <c r="CQ543" s="10"/>
      <c r="CR543" s="10"/>
      <c r="CS543" s="10"/>
      <c r="CT543" s="10"/>
      <c r="CU543" s="10"/>
      <c r="CV543" s="10"/>
      <c r="CW543" s="10"/>
      <c r="CX543" s="10"/>
      <c r="CY543" s="10"/>
      <c r="CZ543" s="10"/>
      <c r="DA543" s="10"/>
      <c r="DB543" s="10"/>
      <c r="DC543" s="10"/>
      <c r="DD543" s="10"/>
      <c r="DE543" s="10"/>
      <c r="DF543" s="10"/>
      <c r="DG543" s="10"/>
      <c r="DH543" s="10"/>
      <c r="DI543" s="10"/>
      <c r="DJ543" s="10"/>
      <c r="DK543" s="10"/>
      <c r="DL543" s="10"/>
      <c r="DM543" s="10"/>
      <c r="DN543" s="10"/>
      <c r="DO543" s="10"/>
      <c r="DP543" s="10"/>
    </row>
    <row r="544" spans="2:120" x14ac:dyDescent="0.25">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10"/>
      <c r="CD544" s="10"/>
      <c r="CE544" s="10"/>
      <c r="CF544" s="10"/>
      <c r="CG544" s="10"/>
      <c r="CH544" s="10"/>
      <c r="CI544" s="10"/>
      <c r="CJ544" s="10"/>
      <c r="CK544" s="10"/>
      <c r="CL544" s="10"/>
      <c r="CM544" s="10"/>
      <c r="CN544" s="10"/>
      <c r="CO544" s="10"/>
      <c r="CP544" s="10"/>
      <c r="CQ544" s="10"/>
      <c r="CR544" s="10"/>
      <c r="CS544" s="10"/>
      <c r="CT544" s="10"/>
      <c r="CU544" s="10"/>
      <c r="CV544" s="10"/>
      <c r="CW544" s="10"/>
      <c r="CX544" s="10"/>
      <c r="CY544" s="10"/>
      <c r="CZ544" s="10"/>
      <c r="DA544" s="10"/>
      <c r="DB544" s="10"/>
      <c r="DC544" s="10"/>
      <c r="DD544" s="10"/>
      <c r="DE544" s="10"/>
      <c r="DF544" s="10"/>
      <c r="DG544" s="10"/>
      <c r="DH544" s="10"/>
      <c r="DI544" s="10"/>
      <c r="DJ544" s="10"/>
      <c r="DK544" s="10"/>
      <c r="DL544" s="10"/>
      <c r="DM544" s="10"/>
      <c r="DN544" s="10"/>
      <c r="DO544" s="10"/>
      <c r="DP544" s="10"/>
    </row>
    <row r="545" spans="2:120" x14ac:dyDescent="0.25">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10"/>
      <c r="CD545" s="10"/>
      <c r="CE545" s="10"/>
      <c r="CF545" s="10"/>
      <c r="CG545" s="10"/>
      <c r="CH545" s="10"/>
      <c r="CI545" s="10"/>
      <c r="CJ545" s="10"/>
      <c r="CK545" s="10"/>
      <c r="CL545" s="10"/>
      <c r="CM545" s="10"/>
      <c r="CN545" s="10"/>
      <c r="CO545" s="10"/>
      <c r="CP545" s="10"/>
      <c r="CQ545" s="10"/>
      <c r="CR545" s="10"/>
      <c r="CS545" s="10"/>
      <c r="CT545" s="10"/>
      <c r="CU545" s="10"/>
      <c r="CV545" s="10"/>
      <c r="CW545" s="10"/>
      <c r="CX545" s="10"/>
      <c r="CY545" s="10"/>
      <c r="CZ545" s="10"/>
      <c r="DA545" s="10"/>
      <c r="DB545" s="10"/>
      <c r="DC545" s="10"/>
      <c r="DD545" s="10"/>
      <c r="DE545" s="10"/>
      <c r="DF545" s="10"/>
      <c r="DG545" s="10"/>
      <c r="DH545" s="10"/>
      <c r="DI545" s="10"/>
      <c r="DJ545" s="10"/>
      <c r="DK545" s="10"/>
      <c r="DL545" s="10"/>
      <c r="DM545" s="10"/>
      <c r="DN545" s="10"/>
      <c r="DO545" s="10"/>
      <c r="DP545" s="10"/>
    </row>
    <row r="546" spans="2:120" x14ac:dyDescent="0.25">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10"/>
      <c r="CD546" s="10"/>
      <c r="CE546" s="10"/>
      <c r="CF546" s="10"/>
      <c r="CG546" s="10"/>
      <c r="CH546" s="10"/>
      <c r="CI546" s="10"/>
      <c r="CJ546" s="10"/>
      <c r="CK546" s="10"/>
      <c r="CL546" s="10"/>
      <c r="CM546" s="10"/>
      <c r="CN546" s="10"/>
      <c r="CO546" s="10"/>
      <c r="CP546" s="10"/>
      <c r="CQ546" s="10"/>
      <c r="CR546" s="10"/>
      <c r="CS546" s="10"/>
      <c r="CT546" s="10"/>
      <c r="CU546" s="10"/>
      <c r="CV546" s="10"/>
      <c r="CW546" s="10"/>
      <c r="CX546" s="10"/>
      <c r="CY546" s="10"/>
      <c r="CZ546" s="10"/>
      <c r="DA546" s="10"/>
      <c r="DB546" s="10"/>
      <c r="DC546" s="10"/>
      <c r="DD546" s="10"/>
      <c r="DE546" s="10"/>
      <c r="DF546" s="10"/>
      <c r="DG546" s="10"/>
      <c r="DH546" s="10"/>
      <c r="DI546" s="10"/>
      <c r="DJ546" s="10"/>
      <c r="DK546" s="10"/>
      <c r="DL546" s="10"/>
      <c r="DM546" s="10"/>
      <c r="DN546" s="10"/>
      <c r="DO546" s="10"/>
      <c r="DP546" s="10"/>
    </row>
    <row r="547" spans="2:120" x14ac:dyDescent="0.25">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c r="CH547" s="10"/>
      <c r="CI547" s="10"/>
      <c r="CJ547" s="10"/>
      <c r="CK547" s="10"/>
      <c r="CL547" s="10"/>
      <c r="CM547" s="10"/>
      <c r="CN547" s="10"/>
      <c r="CO547" s="10"/>
      <c r="CP547" s="10"/>
      <c r="CQ547" s="10"/>
      <c r="CR547" s="10"/>
      <c r="CS547" s="10"/>
      <c r="CT547" s="10"/>
      <c r="CU547" s="10"/>
      <c r="CV547" s="10"/>
      <c r="CW547" s="10"/>
      <c r="CX547" s="10"/>
      <c r="CY547" s="10"/>
      <c r="CZ547" s="10"/>
      <c r="DA547" s="10"/>
      <c r="DB547" s="10"/>
      <c r="DC547" s="10"/>
      <c r="DD547" s="10"/>
      <c r="DE547" s="10"/>
      <c r="DF547" s="10"/>
      <c r="DG547" s="10"/>
      <c r="DH547" s="10"/>
      <c r="DI547" s="10"/>
      <c r="DJ547" s="10"/>
      <c r="DK547" s="10"/>
      <c r="DL547" s="10"/>
      <c r="DM547" s="10"/>
      <c r="DN547" s="10"/>
      <c r="DO547" s="10"/>
      <c r="DP547" s="10"/>
    </row>
    <row r="548" spans="2:120" x14ac:dyDescent="0.25">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c r="CH548" s="10"/>
      <c r="CI548" s="10"/>
      <c r="CJ548" s="10"/>
      <c r="CK548" s="10"/>
      <c r="CL548" s="10"/>
      <c r="CM548" s="10"/>
      <c r="CN548" s="10"/>
      <c r="CO548" s="10"/>
      <c r="CP548" s="10"/>
      <c r="CQ548" s="10"/>
      <c r="CR548" s="10"/>
      <c r="CS548" s="10"/>
      <c r="CT548" s="10"/>
      <c r="CU548" s="10"/>
      <c r="CV548" s="10"/>
      <c r="CW548" s="10"/>
      <c r="CX548" s="10"/>
      <c r="CY548" s="10"/>
      <c r="CZ548" s="10"/>
      <c r="DA548" s="10"/>
      <c r="DB548" s="10"/>
      <c r="DC548" s="10"/>
      <c r="DD548" s="10"/>
      <c r="DE548" s="10"/>
      <c r="DF548" s="10"/>
      <c r="DG548" s="10"/>
      <c r="DH548" s="10"/>
      <c r="DI548" s="10"/>
      <c r="DJ548" s="10"/>
      <c r="DK548" s="10"/>
      <c r="DL548" s="10"/>
      <c r="DM548" s="10"/>
      <c r="DN548" s="10"/>
      <c r="DO548" s="10"/>
      <c r="DP548" s="10"/>
    </row>
    <row r="549" spans="2:120" x14ac:dyDescent="0.25">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c r="CH549" s="10"/>
      <c r="CI549" s="10"/>
      <c r="CJ549" s="10"/>
      <c r="CK549" s="10"/>
      <c r="CL549" s="10"/>
      <c r="CM549" s="10"/>
      <c r="CN549" s="10"/>
      <c r="CO549" s="10"/>
      <c r="CP549" s="10"/>
      <c r="CQ549" s="10"/>
      <c r="CR549" s="10"/>
      <c r="CS549" s="10"/>
      <c r="CT549" s="10"/>
      <c r="CU549" s="10"/>
      <c r="CV549" s="10"/>
      <c r="CW549" s="10"/>
      <c r="CX549" s="10"/>
      <c r="CY549" s="10"/>
      <c r="CZ549" s="10"/>
      <c r="DA549" s="10"/>
      <c r="DB549" s="10"/>
      <c r="DC549" s="10"/>
      <c r="DD549" s="10"/>
      <c r="DE549" s="10"/>
      <c r="DF549" s="10"/>
      <c r="DG549" s="10"/>
      <c r="DH549" s="10"/>
      <c r="DI549" s="10"/>
      <c r="DJ549" s="10"/>
      <c r="DK549" s="10"/>
      <c r="DL549" s="10"/>
      <c r="DM549" s="10"/>
      <c r="DN549" s="10"/>
      <c r="DO549" s="10"/>
      <c r="DP549" s="10"/>
    </row>
    <row r="550" spans="2:120" x14ac:dyDescent="0.25">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c r="CH550" s="10"/>
      <c r="CI550" s="10"/>
      <c r="CJ550" s="10"/>
      <c r="CK550" s="10"/>
      <c r="CL550" s="10"/>
      <c r="CM550" s="10"/>
      <c r="CN550" s="10"/>
      <c r="CO550" s="10"/>
      <c r="CP550" s="10"/>
      <c r="CQ550" s="10"/>
      <c r="CR550" s="10"/>
      <c r="CS550" s="10"/>
      <c r="CT550" s="10"/>
      <c r="CU550" s="10"/>
      <c r="CV550" s="10"/>
      <c r="CW550" s="10"/>
      <c r="CX550" s="10"/>
      <c r="CY550" s="10"/>
      <c r="CZ550" s="10"/>
      <c r="DA550" s="10"/>
      <c r="DB550" s="10"/>
      <c r="DC550" s="10"/>
      <c r="DD550" s="10"/>
      <c r="DE550" s="10"/>
      <c r="DF550" s="10"/>
      <c r="DG550" s="10"/>
      <c r="DH550" s="10"/>
      <c r="DI550" s="10"/>
      <c r="DJ550" s="10"/>
      <c r="DK550" s="10"/>
      <c r="DL550" s="10"/>
      <c r="DM550" s="10"/>
      <c r="DN550" s="10"/>
      <c r="DO550" s="10"/>
      <c r="DP550" s="10"/>
    </row>
    <row r="551" spans="2:120" x14ac:dyDescent="0.25">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c r="CH551" s="10"/>
      <c r="CI551" s="10"/>
      <c r="CJ551" s="10"/>
      <c r="CK551" s="10"/>
      <c r="CL551" s="10"/>
      <c r="CM551" s="10"/>
      <c r="CN551" s="10"/>
      <c r="CO551" s="10"/>
      <c r="CP551" s="10"/>
      <c r="CQ551" s="10"/>
      <c r="CR551" s="10"/>
      <c r="CS551" s="10"/>
      <c r="CT551" s="10"/>
      <c r="CU551" s="10"/>
      <c r="CV551" s="10"/>
      <c r="CW551" s="10"/>
      <c r="CX551" s="10"/>
      <c r="CY551" s="10"/>
      <c r="CZ551" s="10"/>
      <c r="DA551" s="10"/>
      <c r="DB551" s="10"/>
      <c r="DC551" s="10"/>
      <c r="DD551" s="10"/>
      <c r="DE551" s="10"/>
      <c r="DF551" s="10"/>
      <c r="DG551" s="10"/>
      <c r="DH551" s="10"/>
      <c r="DI551" s="10"/>
      <c r="DJ551" s="10"/>
      <c r="DK551" s="10"/>
      <c r="DL551" s="10"/>
      <c r="DM551" s="10"/>
      <c r="DN551" s="10"/>
      <c r="DO551" s="10"/>
      <c r="DP551" s="10"/>
    </row>
    <row r="552" spans="2:120" x14ac:dyDescent="0.25">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c r="CH552" s="10"/>
      <c r="CI552" s="10"/>
      <c r="CJ552" s="10"/>
      <c r="CK552" s="10"/>
      <c r="CL552" s="10"/>
      <c r="CM552" s="10"/>
      <c r="CN552" s="10"/>
      <c r="CO552" s="10"/>
      <c r="CP552" s="10"/>
      <c r="CQ552" s="10"/>
      <c r="CR552" s="10"/>
      <c r="CS552" s="10"/>
      <c r="CT552" s="10"/>
      <c r="CU552" s="10"/>
      <c r="CV552" s="10"/>
      <c r="CW552" s="10"/>
      <c r="CX552" s="10"/>
      <c r="CY552" s="10"/>
      <c r="CZ552" s="10"/>
      <c r="DA552" s="10"/>
      <c r="DB552" s="10"/>
      <c r="DC552" s="10"/>
      <c r="DD552" s="10"/>
      <c r="DE552" s="10"/>
      <c r="DF552" s="10"/>
      <c r="DG552" s="10"/>
      <c r="DH552" s="10"/>
      <c r="DI552" s="10"/>
      <c r="DJ552" s="10"/>
      <c r="DK552" s="10"/>
      <c r="DL552" s="10"/>
      <c r="DM552" s="10"/>
      <c r="DN552" s="10"/>
      <c r="DO552" s="10"/>
      <c r="DP552" s="10"/>
    </row>
    <row r="553" spans="2:120" x14ac:dyDescent="0.25">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c r="CH553" s="10"/>
      <c r="CI553" s="10"/>
      <c r="CJ553" s="10"/>
      <c r="CK553" s="10"/>
      <c r="CL553" s="10"/>
      <c r="CM553" s="10"/>
      <c r="CN553" s="10"/>
      <c r="CO553" s="10"/>
      <c r="CP553" s="10"/>
      <c r="CQ553" s="10"/>
      <c r="CR553" s="10"/>
      <c r="CS553" s="10"/>
      <c r="CT553" s="10"/>
      <c r="CU553" s="10"/>
      <c r="CV553" s="10"/>
      <c r="CW553" s="10"/>
      <c r="CX553" s="10"/>
      <c r="CY553" s="10"/>
      <c r="CZ553" s="10"/>
      <c r="DA553" s="10"/>
      <c r="DB553" s="10"/>
      <c r="DC553" s="10"/>
      <c r="DD553" s="10"/>
      <c r="DE553" s="10"/>
      <c r="DF553" s="10"/>
      <c r="DG553" s="10"/>
      <c r="DH553" s="10"/>
      <c r="DI553" s="10"/>
      <c r="DJ553" s="10"/>
      <c r="DK553" s="10"/>
      <c r="DL553" s="10"/>
      <c r="DM553" s="10"/>
      <c r="DN553" s="10"/>
      <c r="DO553" s="10"/>
      <c r="DP553" s="10"/>
    </row>
    <row r="554" spans="2:120" x14ac:dyDescent="0.25">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c r="CH554" s="10"/>
      <c r="CI554" s="10"/>
      <c r="CJ554" s="10"/>
      <c r="CK554" s="10"/>
      <c r="CL554" s="10"/>
      <c r="CM554" s="10"/>
      <c r="CN554" s="10"/>
      <c r="CO554" s="10"/>
      <c r="CP554" s="10"/>
      <c r="CQ554" s="10"/>
      <c r="CR554" s="10"/>
      <c r="CS554" s="10"/>
      <c r="CT554" s="10"/>
      <c r="CU554" s="10"/>
      <c r="CV554" s="10"/>
      <c r="CW554" s="10"/>
      <c r="CX554" s="10"/>
      <c r="CY554" s="10"/>
      <c r="CZ554" s="10"/>
      <c r="DA554" s="10"/>
      <c r="DB554" s="10"/>
      <c r="DC554" s="10"/>
      <c r="DD554" s="10"/>
      <c r="DE554" s="10"/>
      <c r="DF554" s="10"/>
      <c r="DG554" s="10"/>
      <c r="DH554" s="10"/>
      <c r="DI554" s="10"/>
      <c r="DJ554" s="10"/>
      <c r="DK554" s="10"/>
      <c r="DL554" s="10"/>
      <c r="DM554" s="10"/>
      <c r="DN554" s="10"/>
      <c r="DO554" s="10"/>
      <c r="DP554" s="10"/>
    </row>
    <row r="555" spans="2:120" x14ac:dyDescent="0.25">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c r="CH555" s="10"/>
      <c r="CI555" s="10"/>
      <c r="CJ555" s="10"/>
      <c r="CK555" s="10"/>
      <c r="CL555" s="10"/>
      <c r="CM555" s="10"/>
      <c r="CN555" s="10"/>
      <c r="CO555" s="10"/>
      <c r="CP555" s="10"/>
      <c r="CQ555" s="10"/>
      <c r="CR555" s="10"/>
      <c r="CS555" s="10"/>
      <c r="CT555" s="10"/>
      <c r="CU555" s="10"/>
      <c r="CV555" s="10"/>
      <c r="CW555" s="10"/>
      <c r="CX555" s="10"/>
      <c r="CY555" s="10"/>
      <c r="CZ555" s="10"/>
      <c r="DA555" s="10"/>
      <c r="DB555" s="10"/>
      <c r="DC555" s="10"/>
      <c r="DD555" s="10"/>
      <c r="DE555" s="10"/>
      <c r="DF555" s="10"/>
      <c r="DG555" s="10"/>
      <c r="DH555" s="10"/>
      <c r="DI555" s="10"/>
      <c r="DJ555" s="10"/>
      <c r="DK555" s="10"/>
      <c r="DL555" s="10"/>
      <c r="DM555" s="10"/>
      <c r="DN555" s="10"/>
      <c r="DO555" s="10"/>
      <c r="DP555" s="10"/>
    </row>
    <row r="556" spans="2:120" x14ac:dyDescent="0.25">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10"/>
      <c r="CD556" s="10"/>
      <c r="CE556" s="10"/>
      <c r="CF556" s="10"/>
      <c r="CG556" s="10"/>
      <c r="CH556" s="10"/>
      <c r="CI556" s="10"/>
      <c r="CJ556" s="10"/>
      <c r="CK556" s="10"/>
      <c r="CL556" s="10"/>
      <c r="CM556" s="10"/>
      <c r="CN556" s="10"/>
      <c r="CO556" s="10"/>
      <c r="CP556" s="10"/>
      <c r="CQ556" s="10"/>
      <c r="CR556" s="10"/>
      <c r="CS556" s="10"/>
      <c r="CT556" s="10"/>
      <c r="CU556" s="10"/>
      <c r="CV556" s="10"/>
      <c r="CW556" s="10"/>
      <c r="CX556" s="10"/>
      <c r="CY556" s="10"/>
      <c r="CZ556" s="10"/>
      <c r="DA556" s="10"/>
      <c r="DB556" s="10"/>
      <c r="DC556" s="10"/>
      <c r="DD556" s="10"/>
      <c r="DE556" s="10"/>
      <c r="DF556" s="10"/>
      <c r="DG556" s="10"/>
      <c r="DH556" s="10"/>
      <c r="DI556" s="10"/>
      <c r="DJ556" s="10"/>
      <c r="DK556" s="10"/>
      <c r="DL556" s="10"/>
      <c r="DM556" s="10"/>
      <c r="DN556" s="10"/>
      <c r="DO556" s="10"/>
      <c r="DP556" s="10"/>
    </row>
    <row r="557" spans="2:120" x14ac:dyDescent="0.25">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10"/>
      <c r="CD557" s="10"/>
      <c r="CE557" s="10"/>
      <c r="CF557" s="10"/>
      <c r="CG557" s="10"/>
      <c r="CH557" s="10"/>
      <c r="CI557" s="10"/>
      <c r="CJ557" s="10"/>
      <c r="CK557" s="10"/>
      <c r="CL557" s="10"/>
      <c r="CM557" s="10"/>
      <c r="CN557" s="10"/>
      <c r="CO557" s="10"/>
      <c r="CP557" s="10"/>
      <c r="CQ557" s="10"/>
      <c r="CR557" s="10"/>
      <c r="CS557" s="10"/>
      <c r="CT557" s="10"/>
      <c r="CU557" s="10"/>
      <c r="CV557" s="10"/>
      <c r="CW557" s="10"/>
      <c r="CX557" s="10"/>
      <c r="CY557" s="10"/>
      <c r="CZ557" s="10"/>
      <c r="DA557" s="10"/>
      <c r="DB557" s="10"/>
      <c r="DC557" s="10"/>
      <c r="DD557" s="10"/>
      <c r="DE557" s="10"/>
      <c r="DF557" s="10"/>
      <c r="DG557" s="10"/>
      <c r="DH557" s="10"/>
      <c r="DI557" s="10"/>
      <c r="DJ557" s="10"/>
      <c r="DK557" s="10"/>
      <c r="DL557" s="10"/>
      <c r="DM557" s="10"/>
      <c r="DN557" s="10"/>
      <c r="DO557" s="10"/>
      <c r="DP557" s="10"/>
    </row>
    <row r="558" spans="2:120" x14ac:dyDescent="0.25">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10"/>
      <c r="CD558" s="10"/>
      <c r="CE558" s="10"/>
      <c r="CF558" s="10"/>
      <c r="CG558" s="10"/>
      <c r="CH558" s="10"/>
      <c r="CI558" s="10"/>
      <c r="CJ558" s="10"/>
      <c r="CK558" s="10"/>
      <c r="CL558" s="10"/>
      <c r="CM558" s="10"/>
      <c r="CN558" s="10"/>
      <c r="CO558" s="10"/>
      <c r="CP558" s="10"/>
      <c r="CQ558" s="10"/>
      <c r="CR558" s="10"/>
      <c r="CS558" s="10"/>
      <c r="CT558" s="10"/>
      <c r="CU558" s="10"/>
      <c r="CV558" s="10"/>
      <c r="CW558" s="10"/>
      <c r="CX558" s="10"/>
      <c r="CY558" s="10"/>
      <c r="CZ558" s="10"/>
      <c r="DA558" s="10"/>
      <c r="DB558" s="10"/>
      <c r="DC558" s="10"/>
      <c r="DD558" s="10"/>
      <c r="DE558" s="10"/>
      <c r="DF558" s="10"/>
      <c r="DG558" s="10"/>
      <c r="DH558" s="10"/>
      <c r="DI558" s="10"/>
      <c r="DJ558" s="10"/>
      <c r="DK558" s="10"/>
      <c r="DL558" s="10"/>
      <c r="DM558" s="10"/>
      <c r="DN558" s="10"/>
      <c r="DO558" s="10"/>
      <c r="DP558" s="10"/>
    </row>
    <row r="559" spans="2:120" x14ac:dyDescent="0.25">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c r="CH559" s="10"/>
      <c r="CI559" s="10"/>
      <c r="CJ559" s="10"/>
      <c r="CK559" s="10"/>
      <c r="CL559" s="10"/>
      <c r="CM559" s="10"/>
      <c r="CN559" s="10"/>
      <c r="CO559" s="10"/>
      <c r="CP559" s="10"/>
      <c r="CQ559" s="10"/>
      <c r="CR559" s="10"/>
      <c r="CS559" s="10"/>
      <c r="CT559" s="10"/>
      <c r="CU559" s="10"/>
      <c r="CV559" s="10"/>
      <c r="CW559" s="10"/>
      <c r="CX559" s="10"/>
      <c r="CY559" s="10"/>
      <c r="CZ559" s="10"/>
      <c r="DA559" s="10"/>
      <c r="DB559" s="10"/>
      <c r="DC559" s="10"/>
      <c r="DD559" s="10"/>
      <c r="DE559" s="10"/>
      <c r="DF559" s="10"/>
      <c r="DG559" s="10"/>
      <c r="DH559" s="10"/>
      <c r="DI559" s="10"/>
      <c r="DJ559" s="10"/>
      <c r="DK559" s="10"/>
      <c r="DL559" s="10"/>
      <c r="DM559" s="10"/>
      <c r="DN559" s="10"/>
      <c r="DO559" s="10"/>
      <c r="DP559" s="10"/>
    </row>
    <row r="560" spans="2:120" x14ac:dyDescent="0.25">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10"/>
      <c r="CD560" s="10"/>
      <c r="CE560" s="10"/>
      <c r="CF560" s="10"/>
      <c r="CG560" s="10"/>
      <c r="CH560" s="10"/>
      <c r="CI560" s="10"/>
      <c r="CJ560" s="10"/>
      <c r="CK560" s="10"/>
      <c r="CL560" s="10"/>
      <c r="CM560" s="10"/>
      <c r="CN560" s="10"/>
      <c r="CO560" s="10"/>
      <c r="CP560" s="10"/>
      <c r="CQ560" s="10"/>
      <c r="CR560" s="10"/>
      <c r="CS560" s="10"/>
      <c r="CT560" s="10"/>
      <c r="CU560" s="10"/>
      <c r="CV560" s="10"/>
      <c r="CW560" s="10"/>
      <c r="CX560" s="10"/>
      <c r="CY560" s="10"/>
      <c r="CZ560" s="10"/>
      <c r="DA560" s="10"/>
      <c r="DB560" s="10"/>
      <c r="DC560" s="10"/>
      <c r="DD560" s="10"/>
      <c r="DE560" s="10"/>
      <c r="DF560" s="10"/>
      <c r="DG560" s="10"/>
      <c r="DH560" s="10"/>
      <c r="DI560" s="10"/>
      <c r="DJ560" s="10"/>
      <c r="DK560" s="10"/>
      <c r="DL560" s="10"/>
      <c r="DM560" s="10"/>
      <c r="DN560" s="10"/>
      <c r="DO560" s="10"/>
      <c r="DP560" s="10"/>
    </row>
    <row r="561" spans="2:120" x14ac:dyDescent="0.25">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10"/>
      <c r="CD561" s="10"/>
      <c r="CE561" s="10"/>
      <c r="CF561" s="10"/>
      <c r="CG561" s="10"/>
      <c r="CH561" s="10"/>
      <c r="CI561" s="10"/>
      <c r="CJ561" s="10"/>
      <c r="CK561" s="10"/>
      <c r="CL561" s="10"/>
      <c r="CM561" s="10"/>
      <c r="CN561" s="10"/>
      <c r="CO561" s="10"/>
      <c r="CP561" s="10"/>
      <c r="CQ561" s="10"/>
      <c r="CR561" s="10"/>
      <c r="CS561" s="10"/>
      <c r="CT561" s="10"/>
      <c r="CU561" s="10"/>
      <c r="CV561" s="10"/>
      <c r="CW561" s="10"/>
      <c r="CX561" s="10"/>
      <c r="CY561" s="10"/>
      <c r="CZ561" s="10"/>
      <c r="DA561" s="10"/>
      <c r="DB561" s="10"/>
      <c r="DC561" s="10"/>
      <c r="DD561" s="10"/>
      <c r="DE561" s="10"/>
      <c r="DF561" s="10"/>
      <c r="DG561" s="10"/>
      <c r="DH561" s="10"/>
      <c r="DI561" s="10"/>
      <c r="DJ561" s="10"/>
      <c r="DK561" s="10"/>
      <c r="DL561" s="10"/>
      <c r="DM561" s="10"/>
      <c r="DN561" s="10"/>
      <c r="DO561" s="10"/>
      <c r="DP561" s="10"/>
    </row>
    <row r="562" spans="2:120" x14ac:dyDescent="0.25">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10"/>
      <c r="CD562" s="10"/>
      <c r="CE562" s="10"/>
      <c r="CF562" s="10"/>
      <c r="CG562" s="10"/>
      <c r="CH562" s="10"/>
      <c r="CI562" s="10"/>
      <c r="CJ562" s="10"/>
      <c r="CK562" s="10"/>
      <c r="CL562" s="10"/>
      <c r="CM562" s="10"/>
      <c r="CN562" s="10"/>
      <c r="CO562" s="10"/>
      <c r="CP562" s="10"/>
      <c r="CQ562" s="10"/>
      <c r="CR562" s="10"/>
      <c r="CS562" s="10"/>
      <c r="CT562" s="10"/>
      <c r="CU562" s="10"/>
      <c r="CV562" s="10"/>
      <c r="CW562" s="10"/>
      <c r="CX562" s="10"/>
      <c r="CY562" s="10"/>
      <c r="CZ562" s="10"/>
      <c r="DA562" s="10"/>
      <c r="DB562" s="10"/>
      <c r="DC562" s="10"/>
      <c r="DD562" s="10"/>
      <c r="DE562" s="10"/>
      <c r="DF562" s="10"/>
      <c r="DG562" s="10"/>
      <c r="DH562" s="10"/>
      <c r="DI562" s="10"/>
      <c r="DJ562" s="10"/>
      <c r="DK562" s="10"/>
      <c r="DL562" s="10"/>
      <c r="DM562" s="10"/>
      <c r="DN562" s="10"/>
      <c r="DO562" s="10"/>
      <c r="DP562" s="10"/>
    </row>
    <row r="563" spans="2:120" x14ac:dyDescent="0.25">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10"/>
      <c r="CD563" s="10"/>
      <c r="CE563" s="10"/>
      <c r="CF563" s="10"/>
      <c r="CG563" s="10"/>
      <c r="CH563" s="10"/>
      <c r="CI563" s="10"/>
      <c r="CJ563" s="10"/>
      <c r="CK563" s="10"/>
      <c r="CL563" s="10"/>
      <c r="CM563" s="10"/>
      <c r="CN563" s="10"/>
      <c r="CO563" s="10"/>
      <c r="CP563" s="10"/>
      <c r="CQ563" s="10"/>
      <c r="CR563" s="10"/>
      <c r="CS563" s="10"/>
      <c r="CT563" s="10"/>
      <c r="CU563" s="10"/>
      <c r="CV563" s="10"/>
      <c r="CW563" s="10"/>
      <c r="CX563" s="10"/>
      <c r="CY563" s="10"/>
      <c r="CZ563" s="10"/>
      <c r="DA563" s="10"/>
      <c r="DB563" s="10"/>
      <c r="DC563" s="10"/>
      <c r="DD563" s="10"/>
      <c r="DE563" s="10"/>
      <c r="DF563" s="10"/>
      <c r="DG563" s="10"/>
      <c r="DH563" s="10"/>
      <c r="DI563" s="10"/>
      <c r="DJ563" s="10"/>
      <c r="DK563" s="10"/>
      <c r="DL563" s="10"/>
      <c r="DM563" s="10"/>
      <c r="DN563" s="10"/>
      <c r="DO563" s="10"/>
      <c r="DP563" s="10"/>
    </row>
    <row r="564" spans="2:120" x14ac:dyDescent="0.25">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10"/>
      <c r="CD564" s="10"/>
      <c r="CE564" s="10"/>
      <c r="CF564" s="10"/>
      <c r="CG564" s="10"/>
      <c r="CH564" s="10"/>
      <c r="CI564" s="10"/>
      <c r="CJ564" s="10"/>
      <c r="CK564" s="10"/>
      <c r="CL564" s="10"/>
      <c r="CM564" s="10"/>
      <c r="CN564" s="10"/>
      <c r="CO564" s="10"/>
      <c r="CP564" s="10"/>
      <c r="CQ564" s="10"/>
      <c r="CR564" s="10"/>
      <c r="CS564" s="10"/>
      <c r="CT564" s="10"/>
      <c r="CU564" s="10"/>
      <c r="CV564" s="10"/>
      <c r="CW564" s="10"/>
      <c r="CX564" s="10"/>
      <c r="CY564" s="10"/>
      <c r="CZ564" s="10"/>
      <c r="DA564" s="10"/>
      <c r="DB564" s="10"/>
      <c r="DC564" s="10"/>
      <c r="DD564" s="10"/>
      <c r="DE564" s="10"/>
      <c r="DF564" s="10"/>
      <c r="DG564" s="10"/>
      <c r="DH564" s="10"/>
      <c r="DI564" s="10"/>
      <c r="DJ564" s="10"/>
      <c r="DK564" s="10"/>
      <c r="DL564" s="10"/>
      <c r="DM564" s="10"/>
      <c r="DN564" s="10"/>
      <c r="DO564" s="10"/>
      <c r="DP564" s="10"/>
    </row>
    <row r="565" spans="2:120" x14ac:dyDescent="0.25">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10"/>
      <c r="CD565" s="10"/>
      <c r="CE565" s="10"/>
      <c r="CF565" s="10"/>
      <c r="CG565" s="10"/>
      <c r="CH565" s="10"/>
      <c r="CI565" s="10"/>
      <c r="CJ565" s="10"/>
      <c r="CK565" s="10"/>
      <c r="CL565" s="10"/>
      <c r="CM565" s="10"/>
      <c r="CN565" s="10"/>
      <c r="CO565" s="10"/>
      <c r="CP565" s="10"/>
      <c r="CQ565" s="10"/>
      <c r="CR565" s="10"/>
      <c r="CS565" s="10"/>
      <c r="CT565" s="10"/>
      <c r="CU565" s="10"/>
      <c r="CV565" s="10"/>
      <c r="CW565" s="10"/>
      <c r="CX565" s="10"/>
      <c r="CY565" s="10"/>
      <c r="CZ565" s="10"/>
      <c r="DA565" s="10"/>
      <c r="DB565" s="10"/>
      <c r="DC565" s="10"/>
      <c r="DD565" s="10"/>
      <c r="DE565" s="10"/>
      <c r="DF565" s="10"/>
      <c r="DG565" s="10"/>
      <c r="DH565" s="10"/>
      <c r="DI565" s="10"/>
      <c r="DJ565" s="10"/>
      <c r="DK565" s="10"/>
      <c r="DL565" s="10"/>
      <c r="DM565" s="10"/>
      <c r="DN565" s="10"/>
      <c r="DO565" s="10"/>
      <c r="DP565" s="10"/>
    </row>
    <row r="566" spans="2:120" x14ac:dyDescent="0.25">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10"/>
      <c r="CD566" s="10"/>
      <c r="CE566" s="10"/>
      <c r="CF566" s="10"/>
      <c r="CG566" s="10"/>
      <c r="CH566" s="10"/>
      <c r="CI566" s="10"/>
      <c r="CJ566" s="10"/>
      <c r="CK566" s="10"/>
      <c r="CL566" s="10"/>
      <c r="CM566" s="10"/>
      <c r="CN566" s="10"/>
      <c r="CO566" s="10"/>
      <c r="CP566" s="10"/>
      <c r="CQ566" s="10"/>
      <c r="CR566" s="10"/>
      <c r="CS566" s="10"/>
      <c r="CT566" s="10"/>
      <c r="CU566" s="10"/>
      <c r="CV566" s="10"/>
      <c r="CW566" s="10"/>
      <c r="CX566" s="10"/>
      <c r="CY566" s="10"/>
      <c r="CZ566" s="10"/>
      <c r="DA566" s="10"/>
      <c r="DB566" s="10"/>
      <c r="DC566" s="10"/>
      <c r="DD566" s="10"/>
      <c r="DE566" s="10"/>
      <c r="DF566" s="10"/>
      <c r="DG566" s="10"/>
      <c r="DH566" s="10"/>
      <c r="DI566" s="10"/>
      <c r="DJ566" s="10"/>
      <c r="DK566" s="10"/>
      <c r="DL566" s="10"/>
      <c r="DM566" s="10"/>
      <c r="DN566" s="10"/>
      <c r="DO566" s="10"/>
      <c r="DP566" s="10"/>
    </row>
    <row r="567" spans="2:120" x14ac:dyDescent="0.25">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10"/>
      <c r="CD567" s="10"/>
      <c r="CE567" s="10"/>
      <c r="CF567" s="10"/>
      <c r="CG567" s="10"/>
      <c r="CH567" s="10"/>
      <c r="CI567" s="10"/>
      <c r="CJ567" s="10"/>
      <c r="CK567" s="10"/>
      <c r="CL567" s="10"/>
      <c r="CM567" s="10"/>
      <c r="CN567" s="10"/>
      <c r="CO567" s="10"/>
      <c r="CP567" s="10"/>
      <c r="CQ567" s="10"/>
      <c r="CR567" s="10"/>
      <c r="CS567" s="10"/>
      <c r="CT567" s="10"/>
      <c r="CU567" s="10"/>
      <c r="CV567" s="10"/>
      <c r="CW567" s="10"/>
      <c r="CX567" s="10"/>
      <c r="CY567" s="10"/>
      <c r="CZ567" s="10"/>
      <c r="DA567" s="10"/>
      <c r="DB567" s="10"/>
      <c r="DC567" s="10"/>
      <c r="DD567" s="10"/>
      <c r="DE567" s="10"/>
      <c r="DF567" s="10"/>
      <c r="DG567" s="10"/>
      <c r="DH567" s="10"/>
      <c r="DI567" s="10"/>
      <c r="DJ567" s="10"/>
      <c r="DK567" s="10"/>
      <c r="DL567" s="10"/>
      <c r="DM567" s="10"/>
      <c r="DN567" s="10"/>
      <c r="DO567" s="10"/>
      <c r="DP567" s="10"/>
    </row>
    <row r="568" spans="2:120" x14ac:dyDescent="0.25">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10"/>
      <c r="CD568" s="10"/>
      <c r="CE568" s="10"/>
      <c r="CF568" s="10"/>
      <c r="CG568" s="10"/>
      <c r="CH568" s="10"/>
      <c r="CI568" s="10"/>
      <c r="CJ568" s="10"/>
      <c r="CK568" s="10"/>
      <c r="CL568" s="10"/>
      <c r="CM568" s="10"/>
      <c r="CN568" s="10"/>
      <c r="CO568" s="10"/>
      <c r="CP568" s="10"/>
      <c r="CQ568" s="10"/>
      <c r="CR568" s="10"/>
      <c r="CS568" s="10"/>
      <c r="CT568" s="10"/>
      <c r="CU568" s="10"/>
      <c r="CV568" s="10"/>
      <c r="CW568" s="10"/>
      <c r="CX568" s="10"/>
      <c r="CY568" s="10"/>
      <c r="CZ568" s="10"/>
      <c r="DA568" s="10"/>
      <c r="DB568" s="10"/>
      <c r="DC568" s="10"/>
      <c r="DD568" s="10"/>
      <c r="DE568" s="10"/>
      <c r="DF568" s="10"/>
      <c r="DG568" s="10"/>
      <c r="DH568" s="10"/>
      <c r="DI568" s="10"/>
      <c r="DJ568" s="10"/>
      <c r="DK568" s="10"/>
      <c r="DL568" s="10"/>
      <c r="DM568" s="10"/>
      <c r="DN568" s="10"/>
      <c r="DO568" s="10"/>
      <c r="DP568" s="10"/>
    </row>
    <row r="569" spans="2:120" x14ac:dyDescent="0.25">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10"/>
      <c r="CD569" s="10"/>
      <c r="CE569" s="10"/>
      <c r="CF569" s="10"/>
      <c r="CG569" s="10"/>
      <c r="CH569" s="10"/>
      <c r="CI569" s="10"/>
      <c r="CJ569" s="10"/>
      <c r="CK569" s="10"/>
      <c r="CL569" s="10"/>
      <c r="CM569" s="10"/>
      <c r="CN569" s="10"/>
      <c r="CO569" s="10"/>
      <c r="CP569" s="10"/>
      <c r="CQ569" s="10"/>
      <c r="CR569" s="10"/>
      <c r="CS569" s="10"/>
      <c r="CT569" s="10"/>
      <c r="CU569" s="10"/>
      <c r="CV569" s="10"/>
      <c r="CW569" s="10"/>
      <c r="CX569" s="10"/>
      <c r="CY569" s="10"/>
      <c r="CZ569" s="10"/>
      <c r="DA569" s="10"/>
      <c r="DB569" s="10"/>
      <c r="DC569" s="10"/>
      <c r="DD569" s="10"/>
      <c r="DE569" s="10"/>
      <c r="DF569" s="10"/>
      <c r="DG569" s="10"/>
      <c r="DH569" s="10"/>
      <c r="DI569" s="10"/>
      <c r="DJ569" s="10"/>
      <c r="DK569" s="10"/>
      <c r="DL569" s="10"/>
      <c r="DM569" s="10"/>
      <c r="DN569" s="10"/>
      <c r="DO569" s="10"/>
      <c r="DP569" s="10"/>
    </row>
    <row r="570" spans="2:120" x14ac:dyDescent="0.25">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10"/>
      <c r="CD570" s="10"/>
      <c r="CE570" s="10"/>
      <c r="CF570" s="10"/>
      <c r="CG570" s="10"/>
      <c r="CH570" s="10"/>
      <c r="CI570" s="10"/>
      <c r="CJ570" s="10"/>
      <c r="CK570" s="10"/>
      <c r="CL570" s="10"/>
      <c r="CM570" s="10"/>
      <c r="CN570" s="10"/>
      <c r="CO570" s="10"/>
      <c r="CP570" s="10"/>
      <c r="CQ570" s="10"/>
      <c r="CR570" s="10"/>
      <c r="CS570" s="10"/>
      <c r="CT570" s="10"/>
      <c r="CU570" s="10"/>
      <c r="CV570" s="10"/>
      <c r="CW570" s="10"/>
      <c r="CX570" s="10"/>
      <c r="CY570" s="10"/>
      <c r="CZ570" s="10"/>
      <c r="DA570" s="10"/>
      <c r="DB570" s="10"/>
      <c r="DC570" s="10"/>
      <c r="DD570" s="10"/>
      <c r="DE570" s="10"/>
      <c r="DF570" s="10"/>
      <c r="DG570" s="10"/>
      <c r="DH570" s="10"/>
      <c r="DI570" s="10"/>
      <c r="DJ570" s="10"/>
      <c r="DK570" s="10"/>
      <c r="DL570" s="10"/>
      <c r="DM570" s="10"/>
      <c r="DN570" s="10"/>
      <c r="DO570" s="10"/>
      <c r="DP570" s="10"/>
    </row>
    <row r="571" spans="2:120" x14ac:dyDescent="0.25">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10"/>
      <c r="CD571" s="10"/>
      <c r="CE571" s="10"/>
      <c r="CF571" s="10"/>
      <c r="CG571" s="10"/>
      <c r="CH571" s="10"/>
      <c r="CI571" s="10"/>
      <c r="CJ571" s="10"/>
      <c r="CK571" s="10"/>
      <c r="CL571" s="10"/>
      <c r="CM571" s="10"/>
      <c r="CN571" s="10"/>
      <c r="CO571" s="10"/>
      <c r="CP571" s="10"/>
      <c r="CQ571" s="10"/>
      <c r="CR571" s="10"/>
      <c r="CS571" s="10"/>
      <c r="CT571" s="10"/>
      <c r="CU571" s="10"/>
      <c r="CV571" s="10"/>
      <c r="CW571" s="10"/>
      <c r="CX571" s="10"/>
      <c r="CY571" s="10"/>
      <c r="CZ571" s="10"/>
      <c r="DA571" s="10"/>
      <c r="DB571" s="10"/>
      <c r="DC571" s="10"/>
      <c r="DD571" s="10"/>
      <c r="DE571" s="10"/>
      <c r="DF571" s="10"/>
      <c r="DG571" s="10"/>
      <c r="DH571" s="10"/>
      <c r="DI571" s="10"/>
      <c r="DJ571" s="10"/>
      <c r="DK571" s="10"/>
      <c r="DL571" s="10"/>
      <c r="DM571" s="10"/>
      <c r="DN571" s="10"/>
      <c r="DO571" s="10"/>
      <c r="DP571" s="10"/>
    </row>
    <row r="572" spans="2:120" x14ac:dyDescent="0.25">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10"/>
      <c r="CD572" s="10"/>
      <c r="CE572" s="10"/>
      <c r="CF572" s="10"/>
      <c r="CG572" s="10"/>
      <c r="CH572" s="10"/>
      <c r="CI572" s="10"/>
      <c r="CJ572" s="10"/>
      <c r="CK572" s="10"/>
      <c r="CL572" s="10"/>
      <c r="CM572" s="10"/>
      <c r="CN572" s="10"/>
      <c r="CO572" s="10"/>
      <c r="CP572" s="10"/>
      <c r="CQ572" s="10"/>
      <c r="CR572" s="10"/>
      <c r="CS572" s="10"/>
      <c r="CT572" s="10"/>
      <c r="CU572" s="10"/>
      <c r="CV572" s="10"/>
      <c r="CW572" s="10"/>
      <c r="CX572" s="10"/>
      <c r="CY572" s="10"/>
      <c r="CZ572" s="10"/>
      <c r="DA572" s="10"/>
      <c r="DB572" s="10"/>
      <c r="DC572" s="10"/>
      <c r="DD572" s="10"/>
      <c r="DE572" s="10"/>
      <c r="DF572" s="10"/>
      <c r="DG572" s="10"/>
      <c r="DH572" s="10"/>
      <c r="DI572" s="10"/>
      <c r="DJ572" s="10"/>
      <c r="DK572" s="10"/>
      <c r="DL572" s="10"/>
      <c r="DM572" s="10"/>
      <c r="DN572" s="10"/>
      <c r="DO572" s="10"/>
      <c r="DP572" s="10"/>
    </row>
    <row r="573" spans="2:120" x14ac:dyDescent="0.25">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c r="CH573" s="10"/>
      <c r="CI573" s="10"/>
      <c r="CJ573" s="10"/>
      <c r="CK573" s="10"/>
      <c r="CL573" s="10"/>
      <c r="CM573" s="10"/>
      <c r="CN573" s="10"/>
      <c r="CO573" s="10"/>
      <c r="CP573" s="10"/>
      <c r="CQ573" s="10"/>
      <c r="CR573" s="10"/>
      <c r="CS573" s="10"/>
      <c r="CT573" s="10"/>
      <c r="CU573" s="10"/>
      <c r="CV573" s="10"/>
      <c r="CW573" s="10"/>
      <c r="CX573" s="10"/>
      <c r="CY573" s="10"/>
      <c r="CZ573" s="10"/>
      <c r="DA573" s="10"/>
      <c r="DB573" s="10"/>
      <c r="DC573" s="10"/>
      <c r="DD573" s="10"/>
      <c r="DE573" s="10"/>
      <c r="DF573" s="10"/>
      <c r="DG573" s="10"/>
      <c r="DH573" s="10"/>
      <c r="DI573" s="10"/>
      <c r="DJ573" s="10"/>
      <c r="DK573" s="10"/>
      <c r="DL573" s="10"/>
      <c r="DM573" s="10"/>
      <c r="DN573" s="10"/>
      <c r="DO573" s="10"/>
      <c r="DP573" s="10"/>
    </row>
    <row r="574" spans="2:120" x14ac:dyDescent="0.25">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10"/>
      <c r="CD574" s="10"/>
      <c r="CE574" s="10"/>
      <c r="CF574" s="10"/>
      <c r="CG574" s="10"/>
      <c r="CH574" s="10"/>
      <c r="CI574" s="10"/>
      <c r="CJ574" s="10"/>
      <c r="CK574" s="10"/>
      <c r="CL574" s="10"/>
      <c r="CM574" s="10"/>
      <c r="CN574" s="10"/>
      <c r="CO574" s="10"/>
      <c r="CP574" s="10"/>
      <c r="CQ574" s="10"/>
      <c r="CR574" s="10"/>
      <c r="CS574" s="10"/>
      <c r="CT574" s="10"/>
      <c r="CU574" s="10"/>
      <c r="CV574" s="10"/>
      <c r="CW574" s="10"/>
      <c r="CX574" s="10"/>
      <c r="CY574" s="10"/>
      <c r="CZ574" s="10"/>
      <c r="DA574" s="10"/>
      <c r="DB574" s="10"/>
      <c r="DC574" s="10"/>
      <c r="DD574" s="10"/>
      <c r="DE574" s="10"/>
      <c r="DF574" s="10"/>
      <c r="DG574" s="10"/>
      <c r="DH574" s="10"/>
      <c r="DI574" s="10"/>
      <c r="DJ574" s="10"/>
      <c r="DK574" s="10"/>
      <c r="DL574" s="10"/>
      <c r="DM574" s="10"/>
      <c r="DN574" s="10"/>
      <c r="DO574" s="10"/>
      <c r="DP574" s="10"/>
    </row>
    <row r="575" spans="2:120" x14ac:dyDescent="0.25">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10"/>
      <c r="CD575" s="10"/>
      <c r="CE575" s="10"/>
      <c r="CF575" s="10"/>
      <c r="CG575" s="10"/>
      <c r="CH575" s="10"/>
      <c r="CI575" s="10"/>
      <c r="CJ575" s="10"/>
      <c r="CK575" s="10"/>
      <c r="CL575" s="10"/>
      <c r="CM575" s="10"/>
      <c r="CN575" s="10"/>
      <c r="CO575" s="10"/>
      <c r="CP575" s="10"/>
      <c r="CQ575" s="10"/>
      <c r="CR575" s="10"/>
      <c r="CS575" s="10"/>
      <c r="CT575" s="10"/>
      <c r="CU575" s="10"/>
      <c r="CV575" s="10"/>
      <c r="CW575" s="10"/>
      <c r="CX575" s="10"/>
      <c r="CY575" s="10"/>
      <c r="CZ575" s="10"/>
      <c r="DA575" s="10"/>
      <c r="DB575" s="10"/>
      <c r="DC575" s="10"/>
      <c r="DD575" s="10"/>
      <c r="DE575" s="10"/>
      <c r="DF575" s="10"/>
      <c r="DG575" s="10"/>
      <c r="DH575" s="10"/>
      <c r="DI575" s="10"/>
      <c r="DJ575" s="10"/>
      <c r="DK575" s="10"/>
      <c r="DL575" s="10"/>
      <c r="DM575" s="10"/>
      <c r="DN575" s="10"/>
      <c r="DO575" s="10"/>
      <c r="DP575" s="10"/>
    </row>
    <row r="576" spans="2:120" x14ac:dyDescent="0.25">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10"/>
      <c r="CD576" s="10"/>
      <c r="CE576" s="10"/>
      <c r="CF576" s="10"/>
      <c r="CG576" s="10"/>
      <c r="CH576" s="10"/>
      <c r="CI576" s="10"/>
      <c r="CJ576" s="10"/>
      <c r="CK576" s="10"/>
      <c r="CL576" s="10"/>
      <c r="CM576" s="10"/>
      <c r="CN576" s="10"/>
      <c r="CO576" s="10"/>
      <c r="CP576" s="10"/>
      <c r="CQ576" s="10"/>
      <c r="CR576" s="10"/>
      <c r="CS576" s="10"/>
      <c r="CT576" s="10"/>
      <c r="CU576" s="10"/>
      <c r="CV576" s="10"/>
      <c r="CW576" s="10"/>
      <c r="CX576" s="10"/>
      <c r="CY576" s="10"/>
      <c r="CZ576" s="10"/>
      <c r="DA576" s="10"/>
      <c r="DB576" s="10"/>
      <c r="DC576" s="10"/>
      <c r="DD576" s="10"/>
      <c r="DE576" s="10"/>
      <c r="DF576" s="10"/>
      <c r="DG576" s="10"/>
      <c r="DH576" s="10"/>
      <c r="DI576" s="10"/>
      <c r="DJ576" s="10"/>
      <c r="DK576" s="10"/>
      <c r="DL576" s="10"/>
      <c r="DM576" s="10"/>
      <c r="DN576" s="10"/>
      <c r="DO576" s="10"/>
      <c r="DP576" s="10"/>
    </row>
    <row r="577" spans="2:120" x14ac:dyDescent="0.25">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10"/>
      <c r="CD577" s="10"/>
      <c r="CE577" s="10"/>
      <c r="CF577" s="10"/>
      <c r="CG577" s="10"/>
      <c r="CH577" s="10"/>
      <c r="CI577" s="10"/>
      <c r="CJ577" s="10"/>
      <c r="CK577" s="10"/>
      <c r="CL577" s="10"/>
      <c r="CM577" s="10"/>
      <c r="CN577" s="10"/>
      <c r="CO577" s="10"/>
      <c r="CP577" s="10"/>
      <c r="CQ577" s="10"/>
      <c r="CR577" s="10"/>
      <c r="CS577" s="10"/>
      <c r="CT577" s="10"/>
      <c r="CU577" s="10"/>
      <c r="CV577" s="10"/>
      <c r="CW577" s="10"/>
      <c r="CX577" s="10"/>
      <c r="CY577" s="10"/>
      <c r="CZ577" s="10"/>
      <c r="DA577" s="10"/>
      <c r="DB577" s="10"/>
      <c r="DC577" s="10"/>
      <c r="DD577" s="10"/>
      <c r="DE577" s="10"/>
      <c r="DF577" s="10"/>
      <c r="DG577" s="10"/>
      <c r="DH577" s="10"/>
      <c r="DI577" s="10"/>
      <c r="DJ577" s="10"/>
      <c r="DK577" s="10"/>
      <c r="DL577" s="10"/>
      <c r="DM577" s="10"/>
      <c r="DN577" s="10"/>
      <c r="DO577" s="10"/>
      <c r="DP577" s="10"/>
    </row>
    <row r="578" spans="2:120" x14ac:dyDescent="0.25">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10"/>
      <c r="CD578" s="10"/>
      <c r="CE578" s="10"/>
      <c r="CF578" s="10"/>
      <c r="CG578" s="10"/>
      <c r="CH578" s="10"/>
      <c r="CI578" s="10"/>
      <c r="CJ578" s="10"/>
      <c r="CK578" s="10"/>
      <c r="CL578" s="10"/>
      <c r="CM578" s="10"/>
      <c r="CN578" s="10"/>
      <c r="CO578" s="10"/>
      <c r="CP578" s="10"/>
      <c r="CQ578" s="10"/>
      <c r="CR578" s="10"/>
      <c r="CS578" s="10"/>
      <c r="CT578" s="10"/>
      <c r="CU578" s="10"/>
      <c r="CV578" s="10"/>
      <c r="CW578" s="10"/>
      <c r="CX578" s="10"/>
      <c r="CY578" s="10"/>
      <c r="CZ578" s="10"/>
      <c r="DA578" s="10"/>
      <c r="DB578" s="10"/>
      <c r="DC578" s="10"/>
      <c r="DD578" s="10"/>
      <c r="DE578" s="10"/>
      <c r="DF578" s="10"/>
      <c r="DG578" s="10"/>
      <c r="DH578" s="10"/>
      <c r="DI578" s="10"/>
      <c r="DJ578" s="10"/>
      <c r="DK578" s="10"/>
      <c r="DL578" s="10"/>
      <c r="DM578" s="10"/>
      <c r="DN578" s="10"/>
      <c r="DO578" s="10"/>
      <c r="DP578" s="10"/>
    </row>
    <row r="579" spans="2:120" x14ac:dyDescent="0.25">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10"/>
      <c r="CD579" s="10"/>
      <c r="CE579" s="10"/>
      <c r="CF579" s="10"/>
      <c r="CG579" s="10"/>
      <c r="CH579" s="10"/>
      <c r="CI579" s="10"/>
      <c r="CJ579" s="10"/>
      <c r="CK579" s="10"/>
      <c r="CL579" s="10"/>
      <c r="CM579" s="10"/>
      <c r="CN579" s="10"/>
      <c r="CO579" s="10"/>
      <c r="CP579" s="10"/>
      <c r="CQ579" s="10"/>
      <c r="CR579" s="10"/>
      <c r="CS579" s="10"/>
      <c r="CT579" s="10"/>
      <c r="CU579" s="10"/>
      <c r="CV579" s="10"/>
      <c r="CW579" s="10"/>
      <c r="CX579" s="10"/>
      <c r="CY579" s="10"/>
      <c r="CZ579" s="10"/>
      <c r="DA579" s="10"/>
      <c r="DB579" s="10"/>
      <c r="DC579" s="10"/>
      <c r="DD579" s="10"/>
      <c r="DE579" s="10"/>
      <c r="DF579" s="10"/>
      <c r="DG579" s="10"/>
      <c r="DH579" s="10"/>
      <c r="DI579" s="10"/>
      <c r="DJ579" s="10"/>
      <c r="DK579" s="10"/>
      <c r="DL579" s="10"/>
      <c r="DM579" s="10"/>
      <c r="DN579" s="10"/>
      <c r="DO579" s="10"/>
      <c r="DP579" s="10"/>
    </row>
    <row r="580" spans="2:120" x14ac:dyDescent="0.25">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10"/>
      <c r="CD580" s="10"/>
      <c r="CE580" s="10"/>
      <c r="CF580" s="10"/>
      <c r="CG580" s="10"/>
      <c r="CH580" s="10"/>
      <c r="CI580" s="10"/>
      <c r="CJ580" s="10"/>
      <c r="CK580" s="10"/>
      <c r="CL580" s="10"/>
      <c r="CM580" s="10"/>
      <c r="CN580" s="10"/>
      <c r="CO580" s="10"/>
      <c r="CP580" s="10"/>
      <c r="CQ580" s="10"/>
      <c r="CR580" s="10"/>
      <c r="CS580" s="10"/>
      <c r="CT580" s="10"/>
      <c r="CU580" s="10"/>
      <c r="CV580" s="10"/>
      <c r="CW580" s="10"/>
      <c r="CX580" s="10"/>
      <c r="CY580" s="10"/>
      <c r="CZ580" s="10"/>
      <c r="DA580" s="10"/>
      <c r="DB580" s="10"/>
      <c r="DC580" s="10"/>
      <c r="DD580" s="10"/>
      <c r="DE580" s="10"/>
      <c r="DF580" s="10"/>
      <c r="DG580" s="10"/>
      <c r="DH580" s="10"/>
      <c r="DI580" s="10"/>
      <c r="DJ580" s="10"/>
      <c r="DK580" s="10"/>
      <c r="DL580" s="10"/>
      <c r="DM580" s="10"/>
      <c r="DN580" s="10"/>
      <c r="DO580" s="10"/>
      <c r="DP580" s="10"/>
    </row>
    <row r="581" spans="2:120" x14ac:dyDescent="0.25">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10"/>
      <c r="CD581" s="10"/>
      <c r="CE581" s="10"/>
      <c r="CF581" s="10"/>
      <c r="CG581" s="10"/>
      <c r="CH581" s="10"/>
      <c r="CI581" s="10"/>
      <c r="CJ581" s="10"/>
      <c r="CK581" s="10"/>
      <c r="CL581" s="10"/>
      <c r="CM581" s="10"/>
      <c r="CN581" s="10"/>
      <c r="CO581" s="10"/>
      <c r="CP581" s="10"/>
      <c r="CQ581" s="10"/>
      <c r="CR581" s="10"/>
      <c r="CS581" s="10"/>
      <c r="CT581" s="10"/>
      <c r="CU581" s="10"/>
      <c r="CV581" s="10"/>
      <c r="CW581" s="10"/>
      <c r="CX581" s="10"/>
      <c r="CY581" s="10"/>
      <c r="CZ581" s="10"/>
      <c r="DA581" s="10"/>
      <c r="DB581" s="10"/>
      <c r="DC581" s="10"/>
      <c r="DD581" s="10"/>
      <c r="DE581" s="10"/>
      <c r="DF581" s="10"/>
      <c r="DG581" s="10"/>
      <c r="DH581" s="10"/>
      <c r="DI581" s="10"/>
      <c r="DJ581" s="10"/>
      <c r="DK581" s="10"/>
      <c r="DL581" s="10"/>
      <c r="DM581" s="10"/>
      <c r="DN581" s="10"/>
      <c r="DO581" s="10"/>
      <c r="DP581" s="10"/>
    </row>
    <row r="582" spans="2:120" x14ac:dyDescent="0.25">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c r="CH582" s="10"/>
      <c r="CI582" s="10"/>
      <c r="CJ582" s="10"/>
      <c r="CK582" s="10"/>
      <c r="CL582" s="10"/>
      <c r="CM582" s="10"/>
      <c r="CN582" s="10"/>
      <c r="CO582" s="10"/>
      <c r="CP582" s="10"/>
      <c r="CQ582" s="10"/>
      <c r="CR582" s="10"/>
      <c r="CS582" s="10"/>
      <c r="CT582" s="10"/>
      <c r="CU582" s="10"/>
      <c r="CV582" s="10"/>
      <c r="CW582" s="10"/>
      <c r="CX582" s="10"/>
      <c r="CY582" s="10"/>
      <c r="CZ582" s="10"/>
      <c r="DA582" s="10"/>
      <c r="DB582" s="10"/>
      <c r="DC582" s="10"/>
      <c r="DD582" s="10"/>
      <c r="DE582" s="10"/>
      <c r="DF582" s="10"/>
      <c r="DG582" s="10"/>
      <c r="DH582" s="10"/>
      <c r="DI582" s="10"/>
      <c r="DJ582" s="10"/>
      <c r="DK582" s="10"/>
      <c r="DL582" s="10"/>
      <c r="DM582" s="10"/>
      <c r="DN582" s="10"/>
      <c r="DO582" s="10"/>
      <c r="DP582" s="10"/>
    </row>
    <row r="583" spans="2:120" x14ac:dyDescent="0.25">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10"/>
      <c r="CD583" s="10"/>
      <c r="CE583" s="10"/>
      <c r="CF583" s="10"/>
      <c r="CG583" s="10"/>
      <c r="CH583" s="10"/>
      <c r="CI583" s="10"/>
      <c r="CJ583" s="10"/>
      <c r="CK583" s="10"/>
      <c r="CL583" s="10"/>
      <c r="CM583" s="10"/>
      <c r="CN583" s="10"/>
      <c r="CO583" s="10"/>
      <c r="CP583" s="10"/>
      <c r="CQ583" s="10"/>
      <c r="CR583" s="10"/>
      <c r="CS583" s="10"/>
      <c r="CT583" s="10"/>
      <c r="CU583" s="10"/>
      <c r="CV583" s="10"/>
      <c r="CW583" s="10"/>
      <c r="CX583" s="10"/>
      <c r="CY583" s="10"/>
      <c r="CZ583" s="10"/>
      <c r="DA583" s="10"/>
      <c r="DB583" s="10"/>
      <c r="DC583" s="10"/>
      <c r="DD583" s="10"/>
      <c r="DE583" s="10"/>
      <c r="DF583" s="10"/>
      <c r="DG583" s="10"/>
      <c r="DH583" s="10"/>
      <c r="DI583" s="10"/>
      <c r="DJ583" s="10"/>
      <c r="DK583" s="10"/>
      <c r="DL583" s="10"/>
      <c r="DM583" s="10"/>
      <c r="DN583" s="10"/>
      <c r="DO583" s="10"/>
      <c r="DP583" s="10"/>
    </row>
    <row r="584" spans="2:120" x14ac:dyDescent="0.25">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10"/>
      <c r="CD584" s="10"/>
      <c r="CE584" s="10"/>
      <c r="CF584" s="10"/>
      <c r="CG584" s="10"/>
      <c r="CH584" s="10"/>
      <c r="CI584" s="10"/>
      <c r="CJ584" s="10"/>
      <c r="CK584" s="10"/>
      <c r="CL584" s="10"/>
      <c r="CM584" s="10"/>
      <c r="CN584" s="10"/>
      <c r="CO584" s="10"/>
      <c r="CP584" s="10"/>
      <c r="CQ584" s="10"/>
      <c r="CR584" s="10"/>
      <c r="CS584" s="10"/>
      <c r="CT584" s="10"/>
      <c r="CU584" s="10"/>
      <c r="CV584" s="10"/>
      <c r="CW584" s="10"/>
      <c r="CX584" s="10"/>
      <c r="CY584" s="10"/>
      <c r="CZ584" s="10"/>
      <c r="DA584" s="10"/>
      <c r="DB584" s="10"/>
      <c r="DC584" s="10"/>
      <c r="DD584" s="10"/>
      <c r="DE584" s="10"/>
      <c r="DF584" s="10"/>
      <c r="DG584" s="10"/>
      <c r="DH584" s="10"/>
      <c r="DI584" s="10"/>
      <c r="DJ584" s="10"/>
      <c r="DK584" s="10"/>
      <c r="DL584" s="10"/>
      <c r="DM584" s="10"/>
      <c r="DN584" s="10"/>
      <c r="DO584" s="10"/>
      <c r="DP584" s="10"/>
    </row>
    <row r="585" spans="2:120" x14ac:dyDescent="0.25">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c r="CH585" s="10"/>
      <c r="CI585" s="10"/>
      <c r="CJ585" s="10"/>
      <c r="CK585" s="10"/>
      <c r="CL585" s="10"/>
      <c r="CM585" s="10"/>
      <c r="CN585" s="10"/>
      <c r="CO585" s="10"/>
      <c r="CP585" s="10"/>
      <c r="CQ585" s="10"/>
      <c r="CR585" s="10"/>
      <c r="CS585" s="10"/>
      <c r="CT585" s="10"/>
      <c r="CU585" s="10"/>
      <c r="CV585" s="10"/>
      <c r="CW585" s="10"/>
      <c r="CX585" s="10"/>
      <c r="CY585" s="10"/>
      <c r="CZ585" s="10"/>
      <c r="DA585" s="10"/>
      <c r="DB585" s="10"/>
      <c r="DC585" s="10"/>
      <c r="DD585" s="10"/>
      <c r="DE585" s="10"/>
      <c r="DF585" s="10"/>
      <c r="DG585" s="10"/>
      <c r="DH585" s="10"/>
      <c r="DI585" s="10"/>
      <c r="DJ585" s="10"/>
      <c r="DK585" s="10"/>
      <c r="DL585" s="10"/>
      <c r="DM585" s="10"/>
      <c r="DN585" s="10"/>
      <c r="DO585" s="10"/>
      <c r="DP585" s="10"/>
    </row>
    <row r="586" spans="2:120" x14ac:dyDescent="0.25">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10"/>
      <c r="CD586" s="10"/>
      <c r="CE586" s="10"/>
      <c r="CF586" s="10"/>
      <c r="CG586" s="10"/>
      <c r="CH586" s="10"/>
      <c r="CI586" s="10"/>
      <c r="CJ586" s="10"/>
      <c r="CK586" s="10"/>
      <c r="CL586" s="10"/>
      <c r="CM586" s="10"/>
      <c r="CN586" s="10"/>
      <c r="CO586" s="10"/>
      <c r="CP586" s="10"/>
      <c r="CQ586" s="10"/>
      <c r="CR586" s="10"/>
      <c r="CS586" s="10"/>
      <c r="CT586" s="10"/>
      <c r="CU586" s="10"/>
      <c r="CV586" s="10"/>
      <c r="CW586" s="10"/>
      <c r="CX586" s="10"/>
      <c r="CY586" s="10"/>
      <c r="CZ586" s="10"/>
      <c r="DA586" s="10"/>
      <c r="DB586" s="10"/>
      <c r="DC586" s="10"/>
      <c r="DD586" s="10"/>
      <c r="DE586" s="10"/>
      <c r="DF586" s="10"/>
      <c r="DG586" s="10"/>
      <c r="DH586" s="10"/>
      <c r="DI586" s="10"/>
      <c r="DJ586" s="10"/>
      <c r="DK586" s="10"/>
      <c r="DL586" s="10"/>
      <c r="DM586" s="10"/>
      <c r="DN586" s="10"/>
      <c r="DO586" s="10"/>
      <c r="DP586" s="10"/>
    </row>
    <row r="587" spans="2:120" x14ac:dyDescent="0.25">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10"/>
      <c r="CD587" s="10"/>
      <c r="CE587" s="10"/>
      <c r="CF587" s="10"/>
      <c r="CG587" s="10"/>
      <c r="CH587" s="10"/>
      <c r="CI587" s="10"/>
      <c r="CJ587" s="10"/>
      <c r="CK587" s="10"/>
      <c r="CL587" s="10"/>
      <c r="CM587" s="10"/>
      <c r="CN587" s="10"/>
      <c r="CO587" s="10"/>
      <c r="CP587" s="10"/>
      <c r="CQ587" s="10"/>
      <c r="CR587" s="10"/>
      <c r="CS587" s="10"/>
      <c r="CT587" s="10"/>
      <c r="CU587" s="10"/>
      <c r="CV587" s="10"/>
      <c r="CW587" s="10"/>
      <c r="CX587" s="10"/>
      <c r="CY587" s="10"/>
      <c r="CZ587" s="10"/>
      <c r="DA587" s="10"/>
      <c r="DB587" s="10"/>
      <c r="DC587" s="10"/>
      <c r="DD587" s="10"/>
      <c r="DE587" s="10"/>
      <c r="DF587" s="10"/>
      <c r="DG587" s="10"/>
      <c r="DH587" s="10"/>
      <c r="DI587" s="10"/>
      <c r="DJ587" s="10"/>
      <c r="DK587" s="10"/>
      <c r="DL587" s="10"/>
      <c r="DM587" s="10"/>
      <c r="DN587" s="10"/>
      <c r="DO587" s="10"/>
      <c r="DP587" s="10"/>
    </row>
    <row r="588" spans="2:120" x14ac:dyDescent="0.25">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10"/>
      <c r="CD588" s="10"/>
      <c r="CE588" s="10"/>
      <c r="CF588" s="10"/>
      <c r="CG588" s="10"/>
      <c r="CH588" s="10"/>
      <c r="CI588" s="10"/>
      <c r="CJ588" s="10"/>
      <c r="CK588" s="10"/>
      <c r="CL588" s="10"/>
      <c r="CM588" s="10"/>
      <c r="CN588" s="10"/>
      <c r="CO588" s="10"/>
      <c r="CP588" s="10"/>
      <c r="CQ588" s="10"/>
      <c r="CR588" s="10"/>
      <c r="CS588" s="10"/>
      <c r="CT588" s="10"/>
      <c r="CU588" s="10"/>
      <c r="CV588" s="10"/>
      <c r="CW588" s="10"/>
      <c r="CX588" s="10"/>
      <c r="CY588" s="10"/>
      <c r="CZ588" s="10"/>
      <c r="DA588" s="10"/>
      <c r="DB588" s="10"/>
      <c r="DC588" s="10"/>
      <c r="DD588" s="10"/>
      <c r="DE588" s="10"/>
      <c r="DF588" s="10"/>
      <c r="DG588" s="10"/>
      <c r="DH588" s="10"/>
      <c r="DI588" s="10"/>
      <c r="DJ588" s="10"/>
      <c r="DK588" s="10"/>
      <c r="DL588" s="10"/>
      <c r="DM588" s="10"/>
      <c r="DN588" s="10"/>
      <c r="DO588" s="10"/>
      <c r="DP588" s="10"/>
    </row>
    <row r="589" spans="2:120" x14ac:dyDescent="0.25">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10"/>
      <c r="CD589" s="10"/>
      <c r="CE589" s="10"/>
      <c r="CF589" s="10"/>
      <c r="CG589" s="10"/>
      <c r="CH589" s="10"/>
      <c r="CI589" s="10"/>
      <c r="CJ589" s="10"/>
      <c r="CK589" s="10"/>
      <c r="CL589" s="10"/>
      <c r="CM589" s="10"/>
      <c r="CN589" s="10"/>
      <c r="CO589" s="10"/>
      <c r="CP589" s="10"/>
      <c r="CQ589" s="10"/>
      <c r="CR589" s="10"/>
      <c r="CS589" s="10"/>
      <c r="CT589" s="10"/>
      <c r="CU589" s="10"/>
      <c r="CV589" s="10"/>
      <c r="CW589" s="10"/>
      <c r="CX589" s="10"/>
      <c r="CY589" s="10"/>
      <c r="CZ589" s="10"/>
      <c r="DA589" s="10"/>
      <c r="DB589" s="10"/>
      <c r="DC589" s="10"/>
      <c r="DD589" s="10"/>
      <c r="DE589" s="10"/>
      <c r="DF589" s="10"/>
      <c r="DG589" s="10"/>
      <c r="DH589" s="10"/>
      <c r="DI589" s="10"/>
      <c r="DJ589" s="10"/>
      <c r="DK589" s="10"/>
      <c r="DL589" s="10"/>
      <c r="DM589" s="10"/>
      <c r="DN589" s="10"/>
      <c r="DO589" s="10"/>
      <c r="DP589" s="10"/>
    </row>
    <row r="590" spans="2:120" x14ac:dyDescent="0.25">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10"/>
      <c r="CD590" s="10"/>
      <c r="CE590" s="10"/>
      <c r="CF590" s="10"/>
      <c r="CG590" s="10"/>
      <c r="CH590" s="10"/>
      <c r="CI590" s="10"/>
      <c r="CJ590" s="10"/>
      <c r="CK590" s="10"/>
      <c r="CL590" s="10"/>
      <c r="CM590" s="10"/>
      <c r="CN590" s="10"/>
      <c r="CO590" s="10"/>
      <c r="CP590" s="10"/>
      <c r="CQ590" s="10"/>
      <c r="CR590" s="10"/>
      <c r="CS590" s="10"/>
      <c r="CT590" s="10"/>
      <c r="CU590" s="10"/>
      <c r="CV590" s="10"/>
      <c r="CW590" s="10"/>
      <c r="CX590" s="10"/>
      <c r="CY590" s="10"/>
      <c r="CZ590" s="10"/>
      <c r="DA590" s="10"/>
      <c r="DB590" s="10"/>
      <c r="DC590" s="10"/>
      <c r="DD590" s="10"/>
      <c r="DE590" s="10"/>
      <c r="DF590" s="10"/>
      <c r="DG590" s="10"/>
      <c r="DH590" s="10"/>
      <c r="DI590" s="10"/>
      <c r="DJ590" s="10"/>
      <c r="DK590" s="10"/>
      <c r="DL590" s="10"/>
      <c r="DM590" s="10"/>
      <c r="DN590" s="10"/>
      <c r="DO590" s="10"/>
      <c r="DP590" s="10"/>
    </row>
    <row r="591" spans="2:120" x14ac:dyDescent="0.25">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10"/>
      <c r="CD591" s="10"/>
      <c r="CE591" s="10"/>
      <c r="CF591" s="10"/>
      <c r="CG591" s="10"/>
      <c r="CH591" s="10"/>
      <c r="CI591" s="10"/>
      <c r="CJ591" s="10"/>
      <c r="CK591" s="10"/>
      <c r="CL591" s="10"/>
      <c r="CM591" s="10"/>
      <c r="CN591" s="10"/>
      <c r="CO591" s="10"/>
      <c r="CP591" s="10"/>
      <c r="CQ591" s="10"/>
      <c r="CR591" s="10"/>
      <c r="CS591" s="10"/>
      <c r="CT591" s="10"/>
      <c r="CU591" s="10"/>
      <c r="CV591" s="10"/>
      <c r="CW591" s="10"/>
      <c r="CX591" s="10"/>
      <c r="CY591" s="10"/>
      <c r="CZ591" s="10"/>
      <c r="DA591" s="10"/>
      <c r="DB591" s="10"/>
      <c r="DC591" s="10"/>
      <c r="DD591" s="10"/>
      <c r="DE591" s="10"/>
      <c r="DF591" s="10"/>
      <c r="DG591" s="10"/>
      <c r="DH591" s="10"/>
      <c r="DI591" s="10"/>
      <c r="DJ591" s="10"/>
      <c r="DK591" s="10"/>
      <c r="DL591" s="10"/>
      <c r="DM591" s="10"/>
      <c r="DN591" s="10"/>
      <c r="DO591" s="10"/>
      <c r="DP591" s="10"/>
    </row>
    <row r="592" spans="2:120" x14ac:dyDescent="0.25">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10"/>
      <c r="CD592" s="10"/>
      <c r="CE592" s="10"/>
      <c r="CF592" s="10"/>
      <c r="CG592" s="10"/>
      <c r="CH592" s="10"/>
      <c r="CI592" s="10"/>
      <c r="CJ592" s="10"/>
      <c r="CK592" s="10"/>
      <c r="CL592" s="10"/>
      <c r="CM592" s="10"/>
      <c r="CN592" s="10"/>
      <c r="CO592" s="10"/>
      <c r="CP592" s="10"/>
      <c r="CQ592" s="10"/>
      <c r="CR592" s="10"/>
      <c r="CS592" s="10"/>
      <c r="CT592" s="10"/>
      <c r="CU592" s="10"/>
      <c r="CV592" s="10"/>
      <c r="CW592" s="10"/>
      <c r="CX592" s="10"/>
      <c r="CY592" s="10"/>
      <c r="CZ592" s="10"/>
      <c r="DA592" s="10"/>
      <c r="DB592" s="10"/>
      <c r="DC592" s="10"/>
      <c r="DD592" s="10"/>
      <c r="DE592" s="10"/>
      <c r="DF592" s="10"/>
      <c r="DG592" s="10"/>
      <c r="DH592" s="10"/>
      <c r="DI592" s="10"/>
      <c r="DJ592" s="10"/>
      <c r="DK592" s="10"/>
      <c r="DL592" s="10"/>
      <c r="DM592" s="10"/>
      <c r="DN592" s="10"/>
      <c r="DO592" s="10"/>
      <c r="DP592" s="10"/>
    </row>
    <row r="593" spans="3:120" x14ac:dyDescent="0.25">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10"/>
      <c r="CD593" s="10"/>
      <c r="CE593" s="10"/>
      <c r="CF593" s="10"/>
      <c r="CG593" s="10"/>
      <c r="CH593" s="10"/>
      <c r="CI593" s="10"/>
      <c r="CJ593" s="10"/>
      <c r="CK593" s="10"/>
      <c r="CL593" s="10"/>
      <c r="CM593" s="10"/>
      <c r="CN593" s="10"/>
      <c r="CO593" s="10"/>
      <c r="CP593" s="10"/>
      <c r="CQ593" s="10"/>
      <c r="CR593" s="10"/>
      <c r="CS593" s="10"/>
      <c r="CT593" s="10"/>
      <c r="CU593" s="10"/>
      <c r="CV593" s="10"/>
      <c r="CW593" s="10"/>
      <c r="CX593" s="10"/>
      <c r="CY593" s="10"/>
      <c r="CZ593" s="10"/>
      <c r="DA593" s="10"/>
      <c r="DB593" s="10"/>
      <c r="DC593" s="10"/>
      <c r="DD593" s="10"/>
      <c r="DE593" s="10"/>
      <c r="DF593" s="10"/>
      <c r="DG593" s="10"/>
      <c r="DH593" s="10"/>
      <c r="DI593" s="10"/>
      <c r="DJ593" s="10"/>
      <c r="DK593" s="10"/>
      <c r="DL593" s="10"/>
      <c r="DM593" s="10"/>
      <c r="DN593" s="10"/>
      <c r="DO593" s="10"/>
      <c r="DP593" s="10"/>
    </row>
    <row r="594" spans="3:120" x14ac:dyDescent="0.25">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10"/>
      <c r="CD594" s="10"/>
      <c r="CE594" s="10"/>
      <c r="CF594" s="10"/>
      <c r="CG594" s="10"/>
      <c r="CH594" s="10"/>
      <c r="CI594" s="10"/>
      <c r="CJ594" s="10"/>
      <c r="CK594" s="10"/>
      <c r="CL594" s="10"/>
      <c r="CM594" s="10"/>
      <c r="CN594" s="10"/>
      <c r="CO594" s="10"/>
      <c r="CP594" s="10"/>
      <c r="CQ594" s="10"/>
      <c r="CR594" s="10"/>
      <c r="CS594" s="10"/>
      <c r="CT594" s="10"/>
      <c r="CU594" s="10"/>
      <c r="CV594" s="10"/>
      <c r="CW594" s="10"/>
      <c r="CX594" s="10"/>
      <c r="CY594" s="10"/>
      <c r="CZ594" s="10"/>
      <c r="DA594" s="10"/>
      <c r="DB594" s="10"/>
      <c r="DC594" s="10"/>
      <c r="DD594" s="10"/>
      <c r="DE594" s="10"/>
      <c r="DF594" s="10"/>
      <c r="DG594" s="10"/>
      <c r="DH594" s="10"/>
      <c r="DI594" s="10"/>
      <c r="DJ594" s="10"/>
      <c r="DK594" s="10"/>
      <c r="DL594" s="10"/>
      <c r="DM594" s="10"/>
      <c r="DN594" s="10"/>
      <c r="DO594" s="10"/>
      <c r="DP594" s="10"/>
    </row>
    <row r="595" spans="3:120" x14ac:dyDescent="0.25">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10"/>
      <c r="CD595" s="10"/>
      <c r="CE595" s="10"/>
      <c r="CF595" s="10"/>
      <c r="CG595" s="10"/>
      <c r="CH595" s="10"/>
      <c r="CI595" s="10"/>
      <c r="CJ595" s="10"/>
      <c r="CK595" s="10"/>
      <c r="CL595" s="10"/>
      <c r="CM595" s="10"/>
      <c r="CN595" s="10"/>
      <c r="CO595" s="10"/>
      <c r="CP595" s="10"/>
      <c r="CQ595" s="10"/>
      <c r="CR595" s="10"/>
      <c r="CS595" s="10"/>
      <c r="CT595" s="10"/>
      <c r="CU595" s="10"/>
      <c r="CV595" s="10"/>
      <c r="CW595" s="10"/>
      <c r="CX595" s="10"/>
      <c r="CY595" s="10"/>
      <c r="CZ595" s="10"/>
      <c r="DA595" s="10"/>
      <c r="DB595" s="10"/>
      <c r="DC595" s="10"/>
      <c r="DD595" s="10"/>
      <c r="DE595" s="10"/>
      <c r="DF595" s="10"/>
      <c r="DG595" s="10"/>
      <c r="DH595" s="10"/>
      <c r="DI595" s="10"/>
      <c r="DJ595" s="10"/>
      <c r="DK595" s="10"/>
      <c r="DL595" s="10"/>
      <c r="DM595" s="10"/>
      <c r="DN595" s="10"/>
      <c r="DO595" s="10"/>
      <c r="DP595" s="10"/>
    </row>
    <row r="596" spans="3:120" x14ac:dyDescent="0.25">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10"/>
      <c r="CD596" s="10"/>
      <c r="CE596" s="10"/>
      <c r="CF596" s="10"/>
      <c r="CG596" s="10"/>
      <c r="CH596" s="10"/>
      <c r="CI596" s="10"/>
      <c r="CJ596" s="10"/>
      <c r="CK596" s="10"/>
      <c r="CL596" s="10"/>
      <c r="CM596" s="10"/>
      <c r="CN596" s="10"/>
      <c r="CO596" s="10"/>
      <c r="CP596" s="10"/>
      <c r="CQ596" s="10"/>
      <c r="CR596" s="10"/>
      <c r="CS596" s="10"/>
      <c r="CT596" s="10"/>
      <c r="CU596" s="10"/>
      <c r="CV596" s="10"/>
      <c r="CW596" s="10"/>
      <c r="CX596" s="10"/>
      <c r="CY596" s="10"/>
      <c r="CZ596" s="10"/>
      <c r="DA596" s="10"/>
      <c r="DB596" s="10"/>
      <c r="DC596" s="10"/>
      <c r="DD596" s="10"/>
      <c r="DE596" s="10"/>
      <c r="DF596" s="10"/>
      <c r="DG596" s="10"/>
      <c r="DH596" s="10"/>
      <c r="DI596" s="10"/>
      <c r="DJ596" s="10"/>
      <c r="DK596" s="10"/>
      <c r="DL596" s="10"/>
      <c r="DM596" s="10"/>
      <c r="DN596" s="10"/>
      <c r="DO596" s="10"/>
      <c r="DP596" s="10"/>
    </row>
    <row r="597" spans="3:120" x14ac:dyDescent="0.25">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10"/>
      <c r="CD597" s="10"/>
      <c r="CE597" s="10"/>
      <c r="CF597" s="10"/>
      <c r="CG597" s="10"/>
      <c r="CH597" s="10"/>
      <c r="CI597" s="10"/>
      <c r="CJ597" s="10"/>
      <c r="CK597" s="10"/>
      <c r="CL597" s="10"/>
      <c r="CM597" s="10"/>
      <c r="CN597" s="10"/>
      <c r="CO597" s="10"/>
      <c r="CP597" s="10"/>
      <c r="CQ597" s="10"/>
      <c r="CR597" s="10"/>
      <c r="CS597" s="10"/>
      <c r="CT597" s="10"/>
      <c r="CU597" s="10"/>
      <c r="CV597" s="10"/>
      <c r="CW597" s="10"/>
      <c r="CX597" s="10"/>
      <c r="CY597" s="10"/>
      <c r="CZ597" s="10"/>
      <c r="DA597" s="10"/>
      <c r="DB597" s="10"/>
      <c r="DC597" s="10"/>
      <c r="DD597" s="10"/>
      <c r="DE597" s="10"/>
      <c r="DF597" s="10"/>
      <c r="DG597" s="10"/>
      <c r="DH597" s="10"/>
      <c r="DI597" s="10"/>
      <c r="DJ597" s="10"/>
      <c r="DK597" s="10"/>
      <c r="DL597" s="10"/>
      <c r="DM597" s="10"/>
      <c r="DN597" s="10"/>
      <c r="DO597" s="10"/>
      <c r="DP597" s="10"/>
    </row>
    <row r="598" spans="3:120" x14ac:dyDescent="0.25">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10"/>
      <c r="CD598" s="10"/>
      <c r="CE598" s="10"/>
      <c r="CF598" s="10"/>
      <c r="CG598" s="10"/>
      <c r="CH598" s="10"/>
      <c r="CI598" s="10"/>
      <c r="CJ598" s="10"/>
      <c r="CK598" s="10"/>
      <c r="CL598" s="10"/>
      <c r="CM598" s="10"/>
      <c r="CN598" s="10"/>
      <c r="CO598" s="10"/>
      <c r="CP598" s="10"/>
      <c r="CQ598" s="10"/>
      <c r="CR598" s="10"/>
      <c r="CS598" s="10"/>
      <c r="CT598" s="10"/>
      <c r="CU598" s="10"/>
      <c r="CV598" s="10"/>
      <c r="CW598" s="10"/>
      <c r="CX598" s="10"/>
      <c r="CY598" s="10"/>
      <c r="CZ598" s="10"/>
      <c r="DA598" s="10"/>
      <c r="DB598" s="10"/>
      <c r="DC598" s="10"/>
      <c r="DD598" s="10"/>
      <c r="DE598" s="10"/>
      <c r="DF598" s="10"/>
      <c r="DG598" s="10"/>
      <c r="DH598" s="10"/>
      <c r="DI598" s="10"/>
      <c r="DJ598" s="10"/>
      <c r="DK598" s="10"/>
      <c r="DL598" s="10"/>
      <c r="DM598" s="10"/>
      <c r="DN598" s="10"/>
      <c r="DO598" s="10"/>
      <c r="DP598" s="10"/>
    </row>
    <row r="599" spans="3:120" x14ac:dyDescent="0.25">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10"/>
      <c r="CD599" s="10"/>
      <c r="CE599" s="10"/>
      <c r="CF599" s="10"/>
      <c r="CG599" s="10"/>
      <c r="CH599" s="10"/>
      <c r="CI599" s="10"/>
      <c r="CJ599" s="10"/>
      <c r="CK599" s="10"/>
      <c r="CL599" s="10"/>
      <c r="CM599" s="10"/>
      <c r="CN599" s="10"/>
      <c r="CO599" s="10"/>
      <c r="CP599" s="10"/>
      <c r="CQ599" s="10"/>
      <c r="CR599" s="10"/>
      <c r="CS599" s="10"/>
      <c r="CT599" s="10"/>
      <c r="CU599" s="10"/>
      <c r="CV599" s="10"/>
      <c r="CW599" s="10"/>
      <c r="CX599" s="10"/>
      <c r="CY599" s="10"/>
      <c r="CZ599" s="10"/>
      <c r="DA599" s="10"/>
      <c r="DB599" s="10"/>
      <c r="DC599" s="10"/>
      <c r="DD599" s="10"/>
      <c r="DE599" s="10"/>
      <c r="DF599" s="10"/>
      <c r="DG599" s="10"/>
      <c r="DH599" s="10"/>
      <c r="DI599" s="10"/>
      <c r="DJ599" s="10"/>
      <c r="DK599" s="10"/>
      <c r="DL599" s="10"/>
      <c r="DM599" s="10"/>
      <c r="DN599" s="10"/>
      <c r="DO599" s="10"/>
      <c r="DP599" s="10"/>
    </row>
    <row r="600" spans="3:120" x14ac:dyDescent="0.25">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10"/>
      <c r="CD600" s="10"/>
      <c r="CE600" s="10"/>
      <c r="CF600" s="10"/>
      <c r="CG600" s="10"/>
      <c r="CH600" s="10"/>
      <c r="CI600" s="10"/>
      <c r="CJ600" s="10"/>
      <c r="CK600" s="10"/>
      <c r="CL600" s="10"/>
      <c r="CM600" s="10"/>
      <c r="CN600" s="10"/>
      <c r="CO600" s="10"/>
      <c r="CP600" s="10"/>
      <c r="CQ600" s="10"/>
      <c r="CR600" s="10"/>
      <c r="CS600" s="10"/>
      <c r="CT600" s="10"/>
      <c r="CU600" s="10"/>
      <c r="CV600" s="10"/>
      <c r="CW600" s="10"/>
      <c r="CX600" s="10"/>
      <c r="CY600" s="10"/>
      <c r="CZ600" s="10"/>
      <c r="DA600" s="10"/>
      <c r="DB600" s="10"/>
      <c r="DC600" s="10"/>
      <c r="DD600" s="10"/>
      <c r="DE600" s="10"/>
      <c r="DF600" s="10"/>
      <c r="DG600" s="10"/>
      <c r="DH600" s="10"/>
      <c r="DI600" s="10"/>
      <c r="DJ600" s="10"/>
      <c r="DK600" s="10"/>
      <c r="DL600" s="10"/>
      <c r="DM600" s="10"/>
      <c r="DN600" s="10"/>
      <c r="DO600" s="10"/>
      <c r="DP600" s="10"/>
    </row>
    <row r="601" spans="3:120" x14ac:dyDescent="0.25">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10"/>
      <c r="CD601" s="10"/>
      <c r="CE601" s="10"/>
      <c r="CF601" s="10"/>
      <c r="CG601" s="10"/>
      <c r="CH601" s="10"/>
      <c r="CI601" s="10"/>
      <c r="CJ601" s="10"/>
      <c r="CK601" s="10"/>
      <c r="CL601" s="10"/>
      <c r="CM601" s="10"/>
      <c r="CN601" s="10"/>
      <c r="CO601" s="10"/>
      <c r="CP601" s="10"/>
      <c r="CQ601" s="10"/>
      <c r="CR601" s="10"/>
      <c r="CS601" s="10"/>
      <c r="CT601" s="10"/>
      <c r="CU601" s="10"/>
      <c r="CV601" s="10"/>
      <c r="CW601" s="10"/>
      <c r="CX601" s="10"/>
      <c r="CY601" s="10"/>
      <c r="CZ601" s="10"/>
      <c r="DA601" s="10"/>
      <c r="DB601" s="10"/>
      <c r="DC601" s="10"/>
      <c r="DD601" s="10"/>
      <c r="DE601" s="10"/>
      <c r="DF601" s="10"/>
      <c r="DG601" s="10"/>
      <c r="DH601" s="10"/>
      <c r="DI601" s="10"/>
      <c r="DJ601" s="10"/>
      <c r="DK601" s="10"/>
      <c r="DL601" s="10"/>
      <c r="DM601" s="10"/>
      <c r="DN601" s="10"/>
      <c r="DO601" s="10"/>
      <c r="DP601" s="10"/>
    </row>
    <row r="602" spans="3:120" x14ac:dyDescent="0.25">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10"/>
      <c r="CD602" s="10"/>
      <c r="CE602" s="10"/>
      <c r="CF602" s="10"/>
      <c r="CG602" s="10"/>
      <c r="CH602" s="10"/>
      <c r="CI602" s="10"/>
      <c r="CJ602" s="10"/>
      <c r="CK602" s="10"/>
      <c r="CL602" s="10"/>
      <c r="CM602" s="10"/>
      <c r="CN602" s="10"/>
      <c r="CO602" s="10"/>
      <c r="CP602" s="10"/>
      <c r="CQ602" s="10"/>
      <c r="CR602" s="10"/>
      <c r="CS602" s="10"/>
      <c r="CT602" s="10"/>
      <c r="CU602" s="10"/>
      <c r="CV602" s="10"/>
      <c r="CW602" s="10"/>
      <c r="CX602" s="10"/>
      <c r="CY602" s="10"/>
      <c r="CZ602" s="10"/>
      <c r="DA602" s="10"/>
      <c r="DB602" s="10"/>
      <c r="DC602" s="10"/>
      <c r="DD602" s="10"/>
      <c r="DE602" s="10"/>
      <c r="DF602" s="10"/>
      <c r="DG602" s="10"/>
      <c r="DH602" s="10"/>
      <c r="DI602" s="10"/>
      <c r="DJ602" s="10"/>
      <c r="DK602" s="10"/>
      <c r="DL602" s="10"/>
      <c r="DM602" s="10"/>
      <c r="DN602" s="10"/>
      <c r="DO602" s="10"/>
      <c r="DP602" s="10"/>
    </row>
    <row r="603" spans="3:120" x14ac:dyDescent="0.25">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10"/>
      <c r="CD603" s="10"/>
      <c r="CE603" s="10"/>
      <c r="CF603" s="10"/>
      <c r="CG603" s="10"/>
      <c r="CH603" s="10"/>
      <c r="CI603" s="10"/>
      <c r="CJ603" s="10"/>
      <c r="CK603" s="10"/>
      <c r="CL603" s="10"/>
      <c r="CM603" s="10"/>
      <c r="CN603" s="10"/>
      <c r="CO603" s="10"/>
      <c r="CP603" s="10"/>
      <c r="CQ603" s="10"/>
      <c r="CR603" s="10"/>
      <c r="CS603" s="10"/>
      <c r="CT603" s="10"/>
      <c r="CU603" s="10"/>
      <c r="CV603" s="10"/>
      <c r="CW603" s="10"/>
      <c r="CX603" s="10"/>
      <c r="CY603" s="10"/>
      <c r="CZ603" s="10"/>
      <c r="DA603" s="10"/>
      <c r="DB603" s="10"/>
      <c r="DC603" s="10"/>
      <c r="DD603" s="10"/>
      <c r="DE603" s="10"/>
      <c r="DF603" s="10"/>
      <c r="DG603" s="10"/>
      <c r="DH603" s="10"/>
      <c r="DI603" s="10"/>
      <c r="DJ603" s="10"/>
      <c r="DK603" s="10"/>
      <c r="DL603" s="10"/>
      <c r="DM603" s="10"/>
      <c r="DN603" s="10"/>
      <c r="DO603" s="10"/>
      <c r="DP603" s="10"/>
    </row>
    <row r="604" spans="3:120" x14ac:dyDescent="0.25">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10"/>
      <c r="CD604" s="10"/>
      <c r="CE604" s="10"/>
      <c r="CF604" s="10"/>
      <c r="CG604" s="10"/>
      <c r="CH604" s="10"/>
      <c r="CI604" s="10"/>
      <c r="CJ604" s="10"/>
      <c r="CK604" s="10"/>
      <c r="CL604" s="10"/>
      <c r="CM604" s="10"/>
      <c r="CN604" s="10"/>
      <c r="CO604" s="10"/>
      <c r="CP604" s="10"/>
      <c r="CQ604" s="10"/>
      <c r="CR604" s="10"/>
      <c r="CS604" s="10"/>
      <c r="CT604" s="10"/>
      <c r="CU604" s="10"/>
      <c r="CV604" s="10"/>
      <c r="CW604" s="10"/>
      <c r="CX604" s="10"/>
      <c r="CY604" s="10"/>
      <c r="CZ604" s="10"/>
      <c r="DA604" s="10"/>
      <c r="DB604" s="10"/>
      <c r="DC604" s="10"/>
      <c r="DD604" s="10"/>
      <c r="DE604" s="10"/>
      <c r="DF604" s="10"/>
      <c r="DG604" s="10"/>
      <c r="DH604" s="10"/>
      <c r="DI604" s="10"/>
      <c r="DJ604" s="10"/>
      <c r="DK604" s="10"/>
      <c r="DL604" s="10"/>
      <c r="DM604" s="10"/>
      <c r="DN604" s="10"/>
      <c r="DO604" s="10"/>
      <c r="DP604" s="10"/>
    </row>
    <row r="605" spans="3:120" x14ac:dyDescent="0.25">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10"/>
      <c r="CD605" s="10"/>
      <c r="CE605" s="10"/>
      <c r="CF605" s="10"/>
      <c r="CG605" s="10"/>
      <c r="CH605" s="10"/>
      <c r="CI605" s="10"/>
      <c r="CJ605" s="10"/>
      <c r="CK605" s="10"/>
      <c r="CL605" s="10"/>
      <c r="CM605" s="10"/>
      <c r="CN605" s="10"/>
      <c r="CO605" s="10"/>
      <c r="CP605" s="10"/>
      <c r="CQ605" s="10"/>
      <c r="CR605" s="10"/>
      <c r="CS605" s="10"/>
      <c r="CT605" s="10"/>
      <c r="CU605" s="10"/>
      <c r="CV605" s="10"/>
      <c r="CW605" s="10"/>
      <c r="CX605" s="10"/>
      <c r="CY605" s="10"/>
      <c r="CZ605" s="10"/>
      <c r="DA605" s="10"/>
      <c r="DB605" s="10"/>
      <c r="DC605" s="10"/>
      <c r="DD605" s="10"/>
      <c r="DE605" s="10"/>
      <c r="DF605" s="10"/>
      <c r="DG605" s="10"/>
      <c r="DH605" s="10"/>
      <c r="DI605" s="10"/>
      <c r="DJ605" s="10"/>
      <c r="DK605" s="10"/>
      <c r="DL605" s="10"/>
      <c r="DM605" s="10"/>
      <c r="DN605" s="10"/>
      <c r="DO605" s="10"/>
      <c r="DP605" s="10"/>
    </row>
    <row r="606" spans="3:120" x14ac:dyDescent="0.25">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10"/>
      <c r="CD606" s="10"/>
      <c r="CE606" s="10"/>
      <c r="CF606" s="10"/>
      <c r="CG606" s="10"/>
      <c r="CH606" s="10"/>
      <c r="CI606" s="10"/>
      <c r="CJ606" s="10"/>
      <c r="CK606" s="10"/>
      <c r="CL606" s="10"/>
      <c r="CM606" s="10"/>
      <c r="CN606" s="10"/>
      <c r="CO606" s="10"/>
      <c r="CP606" s="10"/>
      <c r="CQ606" s="10"/>
      <c r="CR606" s="10"/>
      <c r="CS606" s="10"/>
      <c r="CT606" s="10"/>
      <c r="CU606" s="10"/>
      <c r="CV606" s="10"/>
      <c r="CW606" s="10"/>
      <c r="CX606" s="10"/>
      <c r="CY606" s="10"/>
      <c r="CZ606" s="10"/>
      <c r="DA606" s="10"/>
      <c r="DB606" s="10"/>
      <c r="DC606" s="10"/>
      <c r="DD606" s="10"/>
      <c r="DE606" s="10"/>
      <c r="DF606" s="10"/>
      <c r="DG606" s="10"/>
      <c r="DH606" s="10"/>
      <c r="DI606" s="10"/>
      <c r="DJ606" s="10"/>
      <c r="DK606" s="10"/>
      <c r="DL606" s="10"/>
      <c r="DM606" s="10"/>
      <c r="DN606" s="10"/>
      <c r="DO606" s="10"/>
      <c r="DP606" s="10"/>
    </row>
    <row r="607" spans="3:120" x14ac:dyDescent="0.25">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10"/>
      <c r="CD607" s="10"/>
      <c r="CE607" s="10"/>
      <c r="CF607" s="10"/>
      <c r="CG607" s="10"/>
      <c r="CH607" s="10"/>
      <c r="CI607" s="10"/>
      <c r="CJ607" s="10"/>
      <c r="CK607" s="10"/>
      <c r="CL607" s="10"/>
      <c r="CM607" s="10"/>
      <c r="CN607" s="10"/>
      <c r="CO607" s="10"/>
      <c r="CP607" s="10"/>
      <c r="CQ607" s="10"/>
      <c r="CR607" s="10"/>
      <c r="CS607" s="10"/>
      <c r="CT607" s="10"/>
      <c r="CU607" s="10"/>
      <c r="CV607" s="10"/>
      <c r="CW607" s="10"/>
      <c r="CX607" s="10"/>
      <c r="CY607" s="10"/>
      <c r="CZ607" s="10"/>
      <c r="DA607" s="10"/>
      <c r="DB607" s="10"/>
      <c r="DC607" s="10"/>
      <c r="DD607" s="10"/>
      <c r="DE607" s="10"/>
      <c r="DF607" s="10"/>
      <c r="DG607" s="10"/>
      <c r="DH607" s="10"/>
      <c r="DI607" s="10"/>
      <c r="DJ607" s="10"/>
      <c r="DK607" s="10"/>
      <c r="DL607" s="10"/>
      <c r="DM607" s="10"/>
      <c r="DN607" s="10"/>
      <c r="DO607" s="10"/>
      <c r="DP607" s="10"/>
    </row>
    <row r="608" spans="3:120" x14ac:dyDescent="0.25">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10"/>
      <c r="CD608" s="10"/>
      <c r="CE608" s="10"/>
      <c r="CF608" s="10"/>
      <c r="CG608" s="10"/>
      <c r="CH608" s="10"/>
      <c r="CI608" s="10"/>
      <c r="CJ608" s="10"/>
      <c r="CK608" s="10"/>
      <c r="CL608" s="10"/>
      <c r="CM608" s="10"/>
      <c r="CN608" s="10"/>
      <c r="CO608" s="10"/>
      <c r="CP608" s="10"/>
      <c r="CQ608" s="10"/>
      <c r="CR608" s="10"/>
      <c r="CS608" s="10"/>
      <c r="CT608" s="10"/>
      <c r="CU608" s="10"/>
      <c r="CV608" s="10"/>
      <c r="CW608" s="10"/>
      <c r="CX608" s="10"/>
      <c r="CY608" s="10"/>
      <c r="CZ608" s="10"/>
      <c r="DA608" s="10"/>
      <c r="DB608" s="10"/>
      <c r="DC608" s="10"/>
      <c r="DD608" s="10"/>
      <c r="DE608" s="10"/>
      <c r="DF608" s="10"/>
      <c r="DG608" s="10"/>
      <c r="DH608" s="10"/>
      <c r="DI608" s="10"/>
      <c r="DJ608" s="10"/>
      <c r="DK608" s="10"/>
      <c r="DL608" s="10"/>
      <c r="DM608" s="10"/>
      <c r="DN608" s="10"/>
      <c r="DO608" s="10"/>
      <c r="DP608" s="10"/>
    </row>
    <row r="609" spans="3:120" x14ac:dyDescent="0.25">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10"/>
      <c r="CD609" s="10"/>
      <c r="CE609" s="10"/>
      <c r="CF609" s="10"/>
      <c r="CG609" s="10"/>
      <c r="CH609" s="10"/>
      <c r="CI609" s="10"/>
      <c r="CJ609" s="10"/>
      <c r="CK609" s="10"/>
      <c r="CL609" s="10"/>
      <c r="CM609" s="10"/>
      <c r="CN609" s="10"/>
      <c r="CO609" s="10"/>
      <c r="CP609" s="10"/>
      <c r="CQ609" s="10"/>
      <c r="CR609" s="10"/>
      <c r="CS609" s="10"/>
      <c r="CT609" s="10"/>
      <c r="CU609" s="10"/>
      <c r="CV609" s="10"/>
      <c r="CW609" s="10"/>
      <c r="CX609" s="10"/>
      <c r="CY609" s="10"/>
      <c r="CZ609" s="10"/>
      <c r="DA609" s="10"/>
      <c r="DB609" s="10"/>
      <c r="DC609" s="10"/>
      <c r="DD609" s="10"/>
      <c r="DE609" s="10"/>
      <c r="DF609" s="10"/>
      <c r="DG609" s="10"/>
      <c r="DH609" s="10"/>
      <c r="DI609" s="10"/>
      <c r="DJ609" s="10"/>
      <c r="DK609" s="10"/>
      <c r="DL609" s="10"/>
      <c r="DM609" s="10"/>
      <c r="DN609" s="10"/>
      <c r="DO609" s="10"/>
      <c r="DP609" s="10"/>
    </row>
    <row r="610" spans="3:120" x14ac:dyDescent="0.25">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10"/>
      <c r="CD610" s="10"/>
      <c r="CE610" s="10"/>
      <c r="CF610" s="10"/>
      <c r="CG610" s="10"/>
      <c r="CH610" s="10"/>
      <c r="CI610" s="10"/>
      <c r="CJ610" s="10"/>
      <c r="CK610" s="10"/>
      <c r="CL610" s="10"/>
      <c r="CM610" s="10"/>
      <c r="CN610" s="10"/>
      <c r="CO610" s="10"/>
      <c r="CP610" s="10"/>
      <c r="CQ610" s="10"/>
      <c r="CR610" s="10"/>
      <c r="CS610" s="10"/>
      <c r="CT610" s="10"/>
      <c r="CU610" s="10"/>
      <c r="CV610" s="10"/>
      <c r="CW610" s="10"/>
      <c r="CX610" s="10"/>
      <c r="CY610" s="10"/>
      <c r="CZ610" s="10"/>
      <c r="DA610" s="10"/>
      <c r="DB610" s="10"/>
      <c r="DC610" s="10"/>
      <c r="DD610" s="10"/>
      <c r="DE610" s="10"/>
      <c r="DF610" s="10"/>
      <c r="DG610" s="10"/>
      <c r="DH610" s="10"/>
      <c r="DI610" s="10"/>
      <c r="DJ610" s="10"/>
      <c r="DK610" s="10"/>
      <c r="DL610" s="10"/>
      <c r="DM610" s="10"/>
      <c r="DN610" s="10"/>
      <c r="DO610" s="10"/>
      <c r="DP610" s="10"/>
    </row>
    <row r="611" spans="3:120" x14ac:dyDescent="0.25">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10"/>
      <c r="CD611" s="10"/>
      <c r="CE611" s="10"/>
      <c r="CF611" s="10"/>
      <c r="CG611" s="10"/>
      <c r="CH611" s="10"/>
      <c r="CI611" s="10"/>
      <c r="CJ611" s="10"/>
      <c r="CK611" s="10"/>
      <c r="CL611" s="10"/>
      <c r="CM611" s="10"/>
      <c r="CN611" s="10"/>
      <c r="CO611" s="10"/>
      <c r="CP611" s="10"/>
      <c r="CQ611" s="10"/>
      <c r="CR611" s="10"/>
      <c r="CS611" s="10"/>
      <c r="CT611" s="10"/>
      <c r="CU611" s="10"/>
      <c r="CV611" s="10"/>
      <c r="CW611" s="10"/>
      <c r="CX611" s="10"/>
      <c r="CY611" s="10"/>
      <c r="CZ611" s="10"/>
      <c r="DA611" s="10"/>
      <c r="DB611" s="10"/>
      <c r="DC611" s="10"/>
      <c r="DD611" s="10"/>
      <c r="DE611" s="10"/>
      <c r="DF611" s="10"/>
      <c r="DG611" s="10"/>
      <c r="DH611" s="10"/>
      <c r="DI611" s="10"/>
      <c r="DJ611" s="10"/>
      <c r="DK611" s="10"/>
      <c r="DL611" s="10"/>
      <c r="DM611" s="10"/>
      <c r="DN611" s="10"/>
      <c r="DO611" s="10"/>
      <c r="DP611" s="10"/>
    </row>
    <row r="612" spans="3:120" x14ac:dyDescent="0.25">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10"/>
      <c r="CD612" s="10"/>
      <c r="CE612" s="10"/>
      <c r="CF612" s="10"/>
      <c r="CG612" s="10"/>
      <c r="CH612" s="10"/>
      <c r="CI612" s="10"/>
      <c r="CJ612" s="10"/>
      <c r="CK612" s="10"/>
      <c r="CL612" s="10"/>
      <c r="CM612" s="10"/>
      <c r="CN612" s="10"/>
      <c r="CO612" s="10"/>
      <c r="CP612" s="10"/>
      <c r="CQ612" s="10"/>
      <c r="CR612" s="10"/>
      <c r="CS612" s="10"/>
      <c r="CT612" s="10"/>
      <c r="CU612" s="10"/>
      <c r="CV612" s="10"/>
      <c r="CW612" s="10"/>
      <c r="CX612" s="10"/>
      <c r="CY612" s="10"/>
      <c r="CZ612" s="10"/>
      <c r="DA612" s="10"/>
      <c r="DB612" s="10"/>
      <c r="DC612" s="10"/>
      <c r="DD612" s="10"/>
      <c r="DE612" s="10"/>
      <c r="DF612" s="10"/>
      <c r="DG612" s="10"/>
      <c r="DH612" s="10"/>
      <c r="DI612" s="10"/>
      <c r="DJ612" s="10"/>
      <c r="DK612" s="10"/>
      <c r="DL612" s="10"/>
      <c r="DM612" s="10"/>
      <c r="DN612" s="10"/>
      <c r="DO612" s="10"/>
      <c r="DP612" s="10"/>
    </row>
    <row r="613" spans="3:120" x14ac:dyDescent="0.25">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10"/>
      <c r="CD613" s="10"/>
      <c r="CE613" s="10"/>
      <c r="CF613" s="10"/>
      <c r="CG613" s="10"/>
      <c r="CH613" s="10"/>
      <c r="CI613" s="10"/>
      <c r="CJ613" s="10"/>
      <c r="CK613" s="10"/>
      <c r="CL613" s="10"/>
      <c r="CM613" s="10"/>
      <c r="CN613" s="10"/>
      <c r="CO613" s="10"/>
      <c r="CP613" s="10"/>
      <c r="CQ613" s="10"/>
      <c r="CR613" s="10"/>
      <c r="CS613" s="10"/>
      <c r="CT613" s="10"/>
      <c r="CU613" s="10"/>
      <c r="CV613" s="10"/>
      <c r="CW613" s="10"/>
      <c r="CX613" s="10"/>
      <c r="CY613" s="10"/>
      <c r="CZ613" s="10"/>
      <c r="DA613" s="10"/>
      <c r="DB613" s="10"/>
      <c r="DC613" s="10"/>
      <c r="DD613" s="10"/>
      <c r="DE613" s="10"/>
      <c r="DF613" s="10"/>
      <c r="DG613" s="10"/>
      <c r="DH613" s="10"/>
      <c r="DI613" s="10"/>
      <c r="DJ613" s="10"/>
      <c r="DK613" s="10"/>
      <c r="DL613" s="10"/>
      <c r="DM613" s="10"/>
      <c r="DN613" s="10"/>
      <c r="DO613" s="10"/>
      <c r="DP613" s="10"/>
    </row>
    <row r="614" spans="3:120" x14ac:dyDescent="0.25">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10"/>
      <c r="CD614" s="10"/>
      <c r="CE614" s="10"/>
      <c r="CF614" s="10"/>
      <c r="CG614" s="10"/>
      <c r="CH614" s="10"/>
      <c r="CI614" s="10"/>
      <c r="CJ614" s="10"/>
      <c r="CK614" s="10"/>
      <c r="CL614" s="10"/>
      <c r="CM614" s="10"/>
      <c r="CN614" s="10"/>
      <c r="CO614" s="10"/>
      <c r="CP614" s="10"/>
      <c r="CQ614" s="10"/>
      <c r="CR614" s="10"/>
      <c r="CS614" s="10"/>
      <c r="CT614" s="10"/>
      <c r="CU614" s="10"/>
      <c r="CV614" s="10"/>
      <c r="CW614" s="10"/>
      <c r="CX614" s="10"/>
      <c r="CY614" s="10"/>
      <c r="CZ614" s="10"/>
      <c r="DA614" s="10"/>
      <c r="DB614" s="10"/>
      <c r="DC614" s="10"/>
      <c r="DD614" s="10"/>
      <c r="DE614" s="10"/>
      <c r="DF614" s="10"/>
      <c r="DG614" s="10"/>
      <c r="DH614" s="10"/>
      <c r="DI614" s="10"/>
      <c r="DJ614" s="10"/>
      <c r="DK614" s="10"/>
      <c r="DL614" s="10"/>
      <c r="DM614" s="10"/>
      <c r="DN614" s="10"/>
      <c r="DO614" s="10"/>
      <c r="DP614" s="10"/>
    </row>
    <row r="615" spans="3:120" x14ac:dyDescent="0.25">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10"/>
      <c r="CD615" s="10"/>
      <c r="CE615" s="10"/>
      <c r="CF615" s="10"/>
      <c r="CG615" s="10"/>
      <c r="CH615" s="10"/>
      <c r="CI615" s="10"/>
      <c r="CJ615" s="10"/>
      <c r="CK615" s="10"/>
      <c r="CL615" s="10"/>
      <c r="CM615" s="10"/>
      <c r="CN615" s="10"/>
      <c r="CO615" s="10"/>
      <c r="CP615" s="10"/>
      <c r="CQ615" s="10"/>
      <c r="CR615" s="10"/>
      <c r="CS615" s="10"/>
      <c r="CT615" s="10"/>
      <c r="CU615" s="10"/>
      <c r="CV615" s="10"/>
      <c r="CW615" s="10"/>
      <c r="CX615" s="10"/>
      <c r="CY615" s="10"/>
      <c r="CZ615" s="10"/>
      <c r="DA615" s="10"/>
      <c r="DB615" s="10"/>
      <c r="DC615" s="10"/>
      <c r="DD615" s="10"/>
      <c r="DE615" s="10"/>
      <c r="DF615" s="10"/>
      <c r="DG615" s="10"/>
      <c r="DH615" s="10"/>
      <c r="DI615" s="10"/>
      <c r="DJ615" s="10"/>
      <c r="DK615" s="10"/>
      <c r="DL615" s="10"/>
      <c r="DM615" s="10"/>
      <c r="DN615" s="10"/>
      <c r="DO615" s="10"/>
      <c r="DP615" s="10"/>
    </row>
    <row r="616" spans="3:120" x14ac:dyDescent="0.25">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10"/>
      <c r="CD616" s="10"/>
      <c r="CE616" s="10"/>
      <c r="CF616" s="10"/>
      <c r="CG616" s="10"/>
      <c r="CH616" s="10"/>
      <c r="CI616" s="10"/>
      <c r="CJ616" s="10"/>
      <c r="CK616" s="10"/>
      <c r="CL616" s="10"/>
      <c r="CM616" s="10"/>
      <c r="CN616" s="10"/>
      <c r="CO616" s="10"/>
      <c r="CP616" s="10"/>
      <c r="CQ616" s="10"/>
      <c r="CR616" s="10"/>
      <c r="CS616" s="10"/>
      <c r="CT616" s="10"/>
      <c r="CU616" s="10"/>
      <c r="CV616" s="10"/>
      <c r="CW616" s="10"/>
      <c r="CX616" s="10"/>
      <c r="CY616" s="10"/>
      <c r="CZ616" s="10"/>
      <c r="DA616" s="10"/>
      <c r="DB616" s="10"/>
      <c r="DC616" s="10"/>
      <c r="DD616" s="10"/>
      <c r="DE616" s="10"/>
      <c r="DF616" s="10"/>
      <c r="DG616" s="10"/>
      <c r="DH616" s="10"/>
      <c r="DI616" s="10"/>
      <c r="DJ616" s="10"/>
      <c r="DK616" s="10"/>
      <c r="DL616" s="10"/>
      <c r="DM616" s="10"/>
      <c r="DN616" s="10"/>
      <c r="DO616" s="10"/>
      <c r="DP616" s="10"/>
    </row>
    <row r="617" spans="3:120" x14ac:dyDescent="0.25">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10"/>
      <c r="CD617" s="10"/>
      <c r="CE617" s="10"/>
      <c r="CF617" s="10"/>
      <c r="CG617" s="10"/>
      <c r="CH617" s="10"/>
      <c r="CI617" s="10"/>
      <c r="CJ617" s="10"/>
      <c r="CK617" s="10"/>
      <c r="CL617" s="10"/>
      <c r="CM617" s="10"/>
      <c r="CN617" s="10"/>
      <c r="CO617" s="10"/>
      <c r="CP617" s="10"/>
      <c r="CQ617" s="10"/>
      <c r="CR617" s="10"/>
      <c r="CS617" s="10"/>
      <c r="CT617" s="10"/>
      <c r="CU617" s="10"/>
      <c r="CV617" s="10"/>
      <c r="CW617" s="10"/>
      <c r="CX617" s="10"/>
      <c r="CY617" s="10"/>
      <c r="CZ617" s="10"/>
      <c r="DA617" s="10"/>
      <c r="DB617" s="10"/>
      <c r="DC617" s="10"/>
      <c r="DD617" s="10"/>
      <c r="DE617" s="10"/>
      <c r="DF617" s="10"/>
      <c r="DG617" s="10"/>
      <c r="DH617" s="10"/>
      <c r="DI617" s="10"/>
      <c r="DJ617" s="10"/>
      <c r="DK617" s="10"/>
      <c r="DL617" s="10"/>
      <c r="DM617" s="10"/>
      <c r="DN617" s="10"/>
      <c r="DO617" s="10"/>
      <c r="DP617" s="10"/>
    </row>
    <row r="618" spans="3:120" x14ac:dyDescent="0.25">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row>
    <row r="619" spans="3:120" x14ac:dyDescent="0.25">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10"/>
      <c r="CD619" s="10"/>
      <c r="CE619" s="10"/>
      <c r="CF619" s="10"/>
      <c r="CG619" s="10"/>
      <c r="CH619" s="10"/>
      <c r="CI619" s="10"/>
      <c r="CJ619" s="10"/>
      <c r="CK619" s="10"/>
      <c r="CL619" s="10"/>
      <c r="CM619" s="10"/>
      <c r="CN619" s="10"/>
      <c r="CO619" s="10"/>
      <c r="CP619" s="10"/>
      <c r="CQ619" s="10"/>
      <c r="CR619" s="10"/>
      <c r="CS619" s="10"/>
      <c r="CT619" s="10"/>
      <c r="CU619" s="10"/>
      <c r="CV619" s="10"/>
      <c r="CW619" s="10"/>
      <c r="CX619" s="10"/>
      <c r="CY619" s="10"/>
      <c r="CZ619" s="10"/>
      <c r="DA619" s="10"/>
      <c r="DB619" s="10"/>
      <c r="DC619" s="10"/>
      <c r="DD619" s="10"/>
      <c r="DE619" s="10"/>
      <c r="DF619" s="10"/>
      <c r="DG619" s="10"/>
      <c r="DH619" s="10"/>
      <c r="DI619" s="10"/>
      <c r="DJ619" s="10"/>
      <c r="DK619" s="10"/>
      <c r="DL619" s="10"/>
      <c r="DM619" s="10"/>
      <c r="DN619" s="10"/>
      <c r="DO619" s="10"/>
      <c r="DP619" s="10"/>
    </row>
    <row r="620" spans="3:120" x14ac:dyDescent="0.25">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10"/>
      <c r="CD620" s="10"/>
      <c r="CE620" s="10"/>
      <c r="CF620" s="10"/>
      <c r="CG620" s="10"/>
      <c r="CH620" s="10"/>
      <c r="CI620" s="10"/>
      <c r="CJ620" s="10"/>
      <c r="CK620" s="10"/>
      <c r="CL620" s="10"/>
      <c r="CM620" s="10"/>
      <c r="CN620" s="10"/>
      <c r="CO620" s="10"/>
      <c r="CP620" s="10"/>
      <c r="CQ620" s="10"/>
      <c r="CR620" s="10"/>
      <c r="CS620" s="10"/>
      <c r="CT620" s="10"/>
      <c r="CU620" s="10"/>
      <c r="CV620" s="10"/>
      <c r="CW620" s="10"/>
      <c r="CX620" s="10"/>
      <c r="CY620" s="10"/>
      <c r="CZ620" s="10"/>
      <c r="DA620" s="10"/>
      <c r="DB620" s="10"/>
      <c r="DC620" s="10"/>
      <c r="DD620" s="10"/>
      <c r="DE620" s="10"/>
      <c r="DF620" s="10"/>
      <c r="DG620" s="10"/>
      <c r="DH620" s="10"/>
      <c r="DI620" s="10"/>
      <c r="DJ620" s="10"/>
      <c r="DK620" s="10"/>
      <c r="DL620" s="10"/>
      <c r="DM620" s="10"/>
      <c r="DN620" s="10"/>
      <c r="DO620" s="10"/>
      <c r="DP620" s="10"/>
    </row>
    <row r="621" spans="3:120" x14ac:dyDescent="0.25">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10"/>
      <c r="CD621" s="10"/>
      <c r="CE621" s="10"/>
      <c r="CF621" s="10"/>
      <c r="CG621" s="10"/>
      <c r="CH621" s="10"/>
      <c r="CI621" s="10"/>
      <c r="CJ621" s="10"/>
      <c r="CK621" s="10"/>
      <c r="CL621" s="10"/>
      <c r="CM621" s="10"/>
      <c r="CN621" s="10"/>
      <c r="CO621" s="10"/>
      <c r="CP621" s="10"/>
      <c r="CQ621" s="10"/>
      <c r="CR621" s="10"/>
      <c r="CS621" s="10"/>
      <c r="CT621" s="10"/>
      <c r="CU621" s="10"/>
      <c r="CV621" s="10"/>
      <c r="CW621" s="10"/>
      <c r="CX621" s="10"/>
      <c r="CY621" s="10"/>
      <c r="CZ621" s="10"/>
      <c r="DA621" s="10"/>
      <c r="DB621" s="10"/>
      <c r="DC621" s="10"/>
      <c r="DD621" s="10"/>
      <c r="DE621" s="10"/>
      <c r="DF621" s="10"/>
      <c r="DG621" s="10"/>
      <c r="DH621" s="10"/>
      <c r="DI621" s="10"/>
      <c r="DJ621" s="10"/>
      <c r="DK621" s="10"/>
      <c r="DL621" s="10"/>
      <c r="DM621" s="10"/>
      <c r="DN621" s="10"/>
      <c r="DO621" s="10"/>
      <c r="DP621" s="10"/>
    </row>
    <row r="622" spans="3:120" x14ac:dyDescent="0.25">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10"/>
      <c r="CD622" s="10"/>
      <c r="CE622" s="10"/>
      <c r="CF622" s="10"/>
      <c r="CG622" s="10"/>
      <c r="CH622" s="10"/>
      <c r="CI622" s="10"/>
      <c r="CJ622" s="10"/>
      <c r="CK622" s="10"/>
      <c r="CL622" s="10"/>
      <c r="CM622" s="10"/>
      <c r="CN622" s="10"/>
      <c r="CO622" s="10"/>
      <c r="CP622" s="10"/>
      <c r="CQ622" s="10"/>
      <c r="CR622" s="10"/>
      <c r="CS622" s="10"/>
      <c r="CT622" s="10"/>
      <c r="CU622" s="10"/>
      <c r="CV622" s="10"/>
      <c r="CW622" s="10"/>
      <c r="CX622" s="10"/>
      <c r="CY622" s="10"/>
      <c r="CZ622" s="10"/>
      <c r="DA622" s="10"/>
      <c r="DB622" s="10"/>
      <c r="DC622" s="10"/>
      <c r="DD622" s="10"/>
      <c r="DE622" s="10"/>
      <c r="DF622" s="10"/>
      <c r="DG622" s="10"/>
      <c r="DH622" s="10"/>
      <c r="DI622" s="10"/>
      <c r="DJ622" s="10"/>
      <c r="DK622" s="10"/>
      <c r="DL622" s="10"/>
      <c r="DM622" s="10"/>
      <c r="DN622" s="10"/>
      <c r="DO622" s="10"/>
      <c r="DP622" s="10"/>
    </row>
    <row r="623" spans="3:120" x14ac:dyDescent="0.25">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10"/>
      <c r="CD623" s="10"/>
      <c r="CE623" s="10"/>
      <c r="CF623" s="10"/>
      <c r="CG623" s="10"/>
      <c r="CH623" s="10"/>
      <c r="CI623" s="10"/>
      <c r="CJ623" s="10"/>
      <c r="CK623" s="10"/>
      <c r="CL623" s="10"/>
      <c r="CM623" s="10"/>
      <c r="CN623" s="10"/>
      <c r="CO623" s="10"/>
      <c r="CP623" s="10"/>
      <c r="CQ623" s="10"/>
      <c r="CR623" s="10"/>
      <c r="CS623" s="10"/>
      <c r="CT623" s="10"/>
      <c r="CU623" s="10"/>
      <c r="CV623" s="10"/>
      <c r="CW623" s="10"/>
      <c r="CX623" s="10"/>
      <c r="CY623" s="10"/>
      <c r="CZ623" s="10"/>
      <c r="DA623" s="10"/>
      <c r="DB623" s="10"/>
      <c r="DC623" s="10"/>
      <c r="DD623" s="10"/>
      <c r="DE623" s="10"/>
      <c r="DF623" s="10"/>
      <c r="DG623" s="10"/>
      <c r="DH623" s="10"/>
      <c r="DI623" s="10"/>
      <c r="DJ623" s="10"/>
      <c r="DK623" s="10"/>
      <c r="DL623" s="10"/>
      <c r="DM623" s="10"/>
      <c r="DN623" s="10"/>
      <c r="DO623" s="10"/>
      <c r="DP623" s="10"/>
    </row>
    <row r="624" spans="3:120" x14ac:dyDescent="0.25">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10"/>
      <c r="CD624" s="10"/>
      <c r="CE624" s="10"/>
      <c r="CF624" s="10"/>
      <c r="CG624" s="10"/>
      <c r="CH624" s="10"/>
      <c r="CI624" s="10"/>
      <c r="CJ624" s="10"/>
      <c r="CK624" s="10"/>
      <c r="CL624" s="10"/>
      <c r="CM624" s="10"/>
      <c r="CN624" s="10"/>
      <c r="CO624" s="10"/>
      <c r="CP624" s="10"/>
      <c r="CQ624" s="10"/>
      <c r="CR624" s="10"/>
      <c r="CS624" s="10"/>
      <c r="CT624" s="10"/>
      <c r="CU624" s="10"/>
      <c r="CV624" s="10"/>
      <c r="CW624" s="10"/>
      <c r="CX624" s="10"/>
      <c r="CY624" s="10"/>
      <c r="CZ624" s="10"/>
      <c r="DA624" s="10"/>
      <c r="DB624" s="10"/>
      <c r="DC624" s="10"/>
      <c r="DD624" s="10"/>
      <c r="DE624" s="10"/>
      <c r="DF624" s="10"/>
      <c r="DG624" s="10"/>
      <c r="DH624" s="10"/>
      <c r="DI624" s="10"/>
      <c r="DJ624" s="10"/>
      <c r="DK624" s="10"/>
      <c r="DL624" s="10"/>
      <c r="DM624" s="10"/>
      <c r="DN624" s="10"/>
      <c r="DO624" s="10"/>
      <c r="DP624" s="10"/>
    </row>
    <row r="625" spans="3:120" x14ac:dyDescent="0.25">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10"/>
      <c r="CD625" s="10"/>
      <c r="CE625" s="10"/>
      <c r="CF625" s="10"/>
      <c r="CG625" s="10"/>
      <c r="CH625" s="10"/>
      <c r="CI625" s="10"/>
      <c r="CJ625" s="10"/>
      <c r="CK625" s="10"/>
      <c r="CL625" s="10"/>
      <c r="CM625" s="10"/>
      <c r="CN625" s="10"/>
      <c r="CO625" s="10"/>
      <c r="CP625" s="10"/>
      <c r="CQ625" s="10"/>
      <c r="CR625" s="10"/>
      <c r="CS625" s="10"/>
      <c r="CT625" s="10"/>
      <c r="CU625" s="10"/>
      <c r="CV625" s="10"/>
      <c r="CW625" s="10"/>
      <c r="CX625" s="10"/>
      <c r="CY625" s="10"/>
      <c r="CZ625" s="10"/>
      <c r="DA625" s="10"/>
      <c r="DB625" s="10"/>
      <c r="DC625" s="10"/>
      <c r="DD625" s="10"/>
      <c r="DE625" s="10"/>
      <c r="DF625" s="10"/>
      <c r="DG625" s="10"/>
      <c r="DH625" s="10"/>
      <c r="DI625" s="10"/>
      <c r="DJ625" s="10"/>
      <c r="DK625" s="10"/>
      <c r="DL625" s="10"/>
      <c r="DM625" s="10"/>
      <c r="DN625" s="10"/>
      <c r="DO625" s="10"/>
      <c r="DP625" s="10"/>
    </row>
    <row r="626" spans="3:120" x14ac:dyDescent="0.25">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10"/>
      <c r="CD626" s="10"/>
      <c r="CE626" s="10"/>
      <c r="CF626" s="10"/>
      <c r="CG626" s="10"/>
      <c r="CH626" s="10"/>
      <c r="CI626" s="10"/>
      <c r="CJ626" s="10"/>
      <c r="CK626" s="10"/>
      <c r="CL626" s="10"/>
      <c r="CM626" s="10"/>
      <c r="CN626" s="10"/>
      <c r="CO626" s="10"/>
      <c r="CP626" s="10"/>
      <c r="CQ626" s="10"/>
      <c r="CR626" s="10"/>
      <c r="CS626" s="10"/>
      <c r="CT626" s="10"/>
      <c r="CU626" s="10"/>
      <c r="CV626" s="10"/>
      <c r="CW626" s="10"/>
      <c r="CX626" s="10"/>
      <c r="CY626" s="10"/>
      <c r="CZ626" s="10"/>
      <c r="DA626" s="10"/>
      <c r="DB626" s="10"/>
      <c r="DC626" s="10"/>
      <c r="DD626" s="10"/>
      <c r="DE626" s="10"/>
      <c r="DF626" s="10"/>
      <c r="DG626" s="10"/>
      <c r="DH626" s="10"/>
      <c r="DI626" s="10"/>
      <c r="DJ626" s="10"/>
      <c r="DK626" s="10"/>
      <c r="DL626" s="10"/>
      <c r="DM626" s="10"/>
      <c r="DN626" s="10"/>
      <c r="DO626" s="10"/>
      <c r="DP626" s="10"/>
    </row>
    <row r="627" spans="3:120" x14ac:dyDescent="0.25">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10"/>
      <c r="CD627" s="10"/>
      <c r="CE627" s="10"/>
      <c r="CF627" s="10"/>
      <c r="CG627" s="10"/>
      <c r="CH627" s="10"/>
      <c r="CI627" s="10"/>
      <c r="CJ627" s="10"/>
      <c r="CK627" s="10"/>
      <c r="CL627" s="10"/>
      <c r="CM627" s="10"/>
      <c r="CN627" s="10"/>
      <c r="CO627" s="10"/>
      <c r="CP627" s="10"/>
      <c r="CQ627" s="10"/>
      <c r="CR627" s="10"/>
      <c r="CS627" s="10"/>
      <c r="CT627" s="10"/>
      <c r="CU627" s="10"/>
      <c r="CV627" s="10"/>
      <c r="CW627" s="10"/>
      <c r="CX627" s="10"/>
      <c r="CY627" s="10"/>
      <c r="CZ627" s="10"/>
      <c r="DA627" s="10"/>
      <c r="DB627" s="10"/>
      <c r="DC627" s="10"/>
      <c r="DD627" s="10"/>
      <c r="DE627" s="10"/>
      <c r="DF627" s="10"/>
      <c r="DG627" s="10"/>
      <c r="DH627" s="10"/>
      <c r="DI627" s="10"/>
      <c r="DJ627" s="10"/>
      <c r="DK627" s="10"/>
      <c r="DL627" s="10"/>
      <c r="DM627" s="10"/>
      <c r="DN627" s="10"/>
      <c r="DO627" s="10"/>
      <c r="DP627" s="10"/>
    </row>
    <row r="628" spans="3:120" x14ac:dyDescent="0.25">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10"/>
      <c r="CD628" s="10"/>
      <c r="CE628" s="10"/>
      <c r="CF628" s="10"/>
      <c r="CG628" s="10"/>
      <c r="CH628" s="10"/>
      <c r="CI628" s="10"/>
      <c r="CJ628" s="10"/>
      <c r="CK628" s="10"/>
      <c r="CL628" s="10"/>
      <c r="CM628" s="10"/>
      <c r="CN628" s="10"/>
      <c r="CO628" s="10"/>
      <c r="CP628" s="10"/>
      <c r="CQ628" s="10"/>
      <c r="CR628" s="10"/>
      <c r="CS628" s="10"/>
      <c r="CT628" s="10"/>
      <c r="CU628" s="10"/>
      <c r="CV628" s="10"/>
      <c r="CW628" s="10"/>
      <c r="CX628" s="10"/>
      <c r="CY628" s="10"/>
      <c r="CZ628" s="10"/>
      <c r="DA628" s="10"/>
      <c r="DB628" s="10"/>
      <c r="DC628" s="10"/>
      <c r="DD628" s="10"/>
      <c r="DE628" s="10"/>
      <c r="DF628" s="10"/>
      <c r="DG628" s="10"/>
      <c r="DH628" s="10"/>
      <c r="DI628" s="10"/>
      <c r="DJ628" s="10"/>
      <c r="DK628" s="10"/>
      <c r="DL628" s="10"/>
      <c r="DM628" s="10"/>
      <c r="DN628" s="10"/>
      <c r="DO628" s="10"/>
      <c r="DP628" s="10"/>
    </row>
    <row r="629" spans="3:120" x14ac:dyDescent="0.25">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10"/>
      <c r="CD629" s="10"/>
      <c r="CE629" s="10"/>
      <c r="CF629" s="10"/>
      <c r="CG629" s="10"/>
      <c r="CH629" s="10"/>
      <c r="CI629" s="10"/>
      <c r="CJ629" s="10"/>
      <c r="CK629" s="10"/>
      <c r="CL629" s="10"/>
      <c r="CM629" s="10"/>
      <c r="CN629" s="10"/>
      <c r="CO629" s="10"/>
      <c r="CP629" s="10"/>
      <c r="CQ629" s="10"/>
      <c r="CR629" s="10"/>
      <c r="CS629" s="10"/>
      <c r="CT629" s="10"/>
      <c r="CU629" s="10"/>
      <c r="CV629" s="10"/>
      <c r="CW629" s="10"/>
      <c r="CX629" s="10"/>
      <c r="CY629" s="10"/>
      <c r="CZ629" s="10"/>
      <c r="DA629" s="10"/>
      <c r="DB629" s="10"/>
      <c r="DC629" s="10"/>
      <c r="DD629" s="10"/>
      <c r="DE629" s="10"/>
      <c r="DF629" s="10"/>
      <c r="DG629" s="10"/>
      <c r="DH629" s="10"/>
      <c r="DI629" s="10"/>
      <c r="DJ629" s="10"/>
      <c r="DK629" s="10"/>
      <c r="DL629" s="10"/>
      <c r="DM629" s="10"/>
      <c r="DN629" s="10"/>
      <c r="DO629" s="10"/>
      <c r="DP629" s="10"/>
    </row>
    <row r="630" spans="3:120" x14ac:dyDescent="0.25">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10"/>
      <c r="CD630" s="10"/>
      <c r="CE630" s="10"/>
      <c r="CF630" s="10"/>
      <c r="CG630" s="10"/>
      <c r="CH630" s="10"/>
      <c r="CI630" s="10"/>
      <c r="CJ630" s="10"/>
      <c r="CK630" s="10"/>
      <c r="CL630" s="10"/>
      <c r="CM630" s="10"/>
      <c r="CN630" s="10"/>
      <c r="CO630" s="10"/>
      <c r="CP630" s="10"/>
      <c r="CQ630" s="10"/>
      <c r="CR630" s="10"/>
      <c r="CS630" s="10"/>
      <c r="CT630" s="10"/>
      <c r="CU630" s="10"/>
      <c r="CV630" s="10"/>
      <c r="CW630" s="10"/>
      <c r="CX630" s="10"/>
      <c r="CY630" s="10"/>
      <c r="CZ630" s="10"/>
      <c r="DA630" s="10"/>
      <c r="DB630" s="10"/>
      <c r="DC630" s="10"/>
      <c r="DD630" s="10"/>
      <c r="DE630" s="10"/>
      <c r="DF630" s="10"/>
      <c r="DG630" s="10"/>
      <c r="DH630" s="10"/>
      <c r="DI630" s="10"/>
      <c r="DJ630" s="10"/>
      <c r="DK630" s="10"/>
      <c r="DL630" s="10"/>
      <c r="DM630" s="10"/>
      <c r="DN630" s="10"/>
      <c r="DO630" s="10"/>
      <c r="DP630" s="10"/>
    </row>
    <row r="631" spans="3:120" x14ac:dyDescent="0.25">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10"/>
      <c r="CD631" s="10"/>
      <c r="CE631" s="10"/>
      <c r="CF631" s="10"/>
      <c r="CG631" s="10"/>
      <c r="CH631" s="10"/>
      <c r="CI631" s="10"/>
      <c r="CJ631" s="10"/>
      <c r="CK631" s="10"/>
      <c r="CL631" s="10"/>
      <c r="CM631" s="10"/>
      <c r="CN631" s="10"/>
      <c r="CO631" s="10"/>
      <c r="CP631" s="10"/>
      <c r="CQ631" s="10"/>
      <c r="CR631" s="10"/>
      <c r="CS631" s="10"/>
      <c r="CT631" s="10"/>
      <c r="CU631" s="10"/>
      <c r="CV631" s="10"/>
      <c r="CW631" s="10"/>
      <c r="CX631" s="10"/>
      <c r="CY631" s="10"/>
      <c r="CZ631" s="10"/>
      <c r="DA631" s="10"/>
      <c r="DB631" s="10"/>
      <c r="DC631" s="10"/>
      <c r="DD631" s="10"/>
      <c r="DE631" s="10"/>
      <c r="DF631" s="10"/>
      <c r="DG631" s="10"/>
      <c r="DH631" s="10"/>
      <c r="DI631" s="10"/>
      <c r="DJ631" s="10"/>
      <c r="DK631" s="10"/>
      <c r="DL631" s="10"/>
      <c r="DM631" s="10"/>
      <c r="DN631" s="10"/>
      <c r="DO631" s="10"/>
      <c r="DP631" s="10"/>
    </row>
    <row r="632" spans="3:120" x14ac:dyDescent="0.25">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10"/>
      <c r="CD632" s="10"/>
      <c r="CE632" s="10"/>
      <c r="CF632" s="10"/>
      <c r="CG632" s="10"/>
      <c r="CH632" s="10"/>
      <c r="CI632" s="10"/>
      <c r="CJ632" s="10"/>
      <c r="CK632" s="10"/>
      <c r="CL632" s="10"/>
      <c r="CM632" s="10"/>
      <c r="CN632" s="10"/>
      <c r="CO632" s="10"/>
      <c r="CP632" s="10"/>
      <c r="CQ632" s="10"/>
      <c r="CR632" s="10"/>
      <c r="CS632" s="10"/>
      <c r="CT632" s="10"/>
      <c r="CU632" s="10"/>
      <c r="CV632" s="10"/>
      <c r="CW632" s="10"/>
      <c r="CX632" s="10"/>
      <c r="CY632" s="10"/>
      <c r="CZ632" s="10"/>
      <c r="DA632" s="10"/>
      <c r="DB632" s="10"/>
      <c r="DC632" s="10"/>
      <c r="DD632" s="10"/>
      <c r="DE632" s="10"/>
      <c r="DF632" s="10"/>
      <c r="DG632" s="10"/>
      <c r="DH632" s="10"/>
      <c r="DI632" s="10"/>
      <c r="DJ632" s="10"/>
      <c r="DK632" s="10"/>
      <c r="DL632" s="10"/>
      <c r="DM632" s="10"/>
      <c r="DN632" s="10"/>
      <c r="DO632" s="10"/>
      <c r="DP632" s="10"/>
    </row>
    <row r="633" spans="3:120" x14ac:dyDescent="0.25">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10"/>
      <c r="CD633" s="10"/>
      <c r="CE633" s="10"/>
      <c r="CF633" s="10"/>
      <c r="CG633" s="10"/>
      <c r="CH633" s="10"/>
      <c r="CI633" s="10"/>
      <c r="CJ633" s="10"/>
      <c r="CK633" s="10"/>
      <c r="CL633" s="10"/>
      <c r="CM633" s="10"/>
      <c r="CN633" s="10"/>
      <c r="CO633" s="10"/>
      <c r="CP633" s="10"/>
      <c r="CQ633" s="10"/>
      <c r="CR633" s="10"/>
      <c r="CS633" s="10"/>
      <c r="CT633" s="10"/>
      <c r="CU633" s="10"/>
      <c r="CV633" s="10"/>
      <c r="CW633" s="10"/>
      <c r="CX633" s="10"/>
      <c r="CY633" s="10"/>
      <c r="CZ633" s="10"/>
      <c r="DA633" s="10"/>
      <c r="DB633" s="10"/>
      <c r="DC633" s="10"/>
      <c r="DD633" s="10"/>
      <c r="DE633" s="10"/>
      <c r="DF633" s="10"/>
      <c r="DG633" s="10"/>
      <c r="DH633" s="10"/>
      <c r="DI633" s="10"/>
      <c r="DJ633" s="10"/>
      <c r="DK633" s="10"/>
      <c r="DL633" s="10"/>
      <c r="DM633" s="10"/>
      <c r="DN633" s="10"/>
      <c r="DO633" s="10"/>
      <c r="DP633" s="10"/>
    </row>
    <row r="634" spans="3:120" x14ac:dyDescent="0.25">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10"/>
      <c r="CD634" s="10"/>
      <c r="CE634" s="10"/>
      <c r="CF634" s="10"/>
      <c r="CG634" s="10"/>
      <c r="CH634" s="10"/>
      <c r="CI634" s="10"/>
      <c r="CJ634" s="10"/>
      <c r="CK634" s="10"/>
      <c r="CL634" s="10"/>
      <c r="CM634" s="10"/>
      <c r="CN634" s="10"/>
      <c r="CO634" s="10"/>
      <c r="CP634" s="10"/>
      <c r="CQ634" s="10"/>
      <c r="CR634" s="10"/>
      <c r="CS634" s="10"/>
      <c r="CT634" s="10"/>
      <c r="CU634" s="10"/>
      <c r="CV634" s="10"/>
      <c r="CW634" s="10"/>
      <c r="CX634" s="10"/>
      <c r="CY634" s="10"/>
      <c r="CZ634" s="10"/>
      <c r="DA634" s="10"/>
      <c r="DB634" s="10"/>
      <c r="DC634" s="10"/>
      <c r="DD634" s="10"/>
      <c r="DE634" s="10"/>
      <c r="DF634" s="10"/>
      <c r="DG634" s="10"/>
      <c r="DH634" s="10"/>
      <c r="DI634" s="10"/>
      <c r="DJ634" s="10"/>
      <c r="DK634" s="10"/>
      <c r="DL634" s="10"/>
      <c r="DM634" s="10"/>
      <c r="DN634" s="10"/>
      <c r="DO634" s="10"/>
      <c r="DP634" s="10"/>
    </row>
    <row r="635" spans="3:120" x14ac:dyDescent="0.25">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c r="CA635" s="10"/>
      <c r="CB635" s="10"/>
      <c r="CC635" s="10"/>
      <c r="CD635" s="10"/>
      <c r="CE635" s="10"/>
      <c r="CF635" s="10"/>
      <c r="CG635" s="10"/>
      <c r="CH635" s="10"/>
      <c r="CI635" s="10"/>
      <c r="CJ635" s="10"/>
      <c r="CK635" s="10"/>
      <c r="CL635" s="10"/>
      <c r="CM635" s="10"/>
      <c r="CN635" s="10"/>
      <c r="CO635" s="10"/>
      <c r="CP635" s="10"/>
      <c r="CQ635" s="10"/>
      <c r="CR635" s="10"/>
      <c r="CS635" s="10"/>
      <c r="CT635" s="10"/>
      <c r="CU635" s="10"/>
      <c r="CV635" s="10"/>
      <c r="CW635" s="10"/>
      <c r="CX635" s="10"/>
      <c r="CY635" s="10"/>
      <c r="CZ635" s="10"/>
      <c r="DA635" s="10"/>
      <c r="DB635" s="10"/>
      <c r="DC635" s="10"/>
      <c r="DD635" s="10"/>
      <c r="DE635" s="10"/>
      <c r="DF635" s="10"/>
      <c r="DG635" s="10"/>
      <c r="DH635" s="10"/>
      <c r="DI635" s="10"/>
      <c r="DJ635" s="10"/>
      <c r="DK635" s="10"/>
      <c r="DL635" s="10"/>
      <c r="DM635" s="10"/>
      <c r="DN635" s="10"/>
      <c r="DO635" s="10"/>
      <c r="DP635" s="10"/>
    </row>
    <row r="636" spans="3:120" x14ac:dyDescent="0.25">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c r="CA636" s="10"/>
      <c r="CB636" s="10"/>
      <c r="CC636" s="10"/>
      <c r="CD636" s="10"/>
      <c r="CE636" s="10"/>
      <c r="CF636" s="10"/>
      <c r="CG636" s="10"/>
      <c r="CH636" s="10"/>
      <c r="CI636" s="10"/>
      <c r="CJ636" s="10"/>
      <c r="CK636" s="10"/>
      <c r="CL636" s="10"/>
      <c r="CM636" s="10"/>
      <c r="CN636" s="10"/>
      <c r="CO636" s="10"/>
      <c r="CP636" s="10"/>
      <c r="CQ636" s="10"/>
      <c r="CR636" s="10"/>
      <c r="CS636" s="10"/>
      <c r="CT636" s="10"/>
      <c r="CU636" s="10"/>
      <c r="CV636" s="10"/>
      <c r="CW636" s="10"/>
      <c r="CX636" s="10"/>
      <c r="CY636" s="10"/>
      <c r="CZ636" s="10"/>
      <c r="DA636" s="10"/>
      <c r="DB636" s="10"/>
      <c r="DC636" s="10"/>
      <c r="DD636" s="10"/>
      <c r="DE636" s="10"/>
      <c r="DF636" s="10"/>
      <c r="DG636" s="10"/>
      <c r="DH636" s="10"/>
      <c r="DI636" s="10"/>
      <c r="DJ636" s="10"/>
      <c r="DK636" s="10"/>
      <c r="DL636" s="10"/>
      <c r="DM636" s="10"/>
      <c r="DN636" s="10"/>
      <c r="DO636" s="10"/>
      <c r="DP636" s="10"/>
    </row>
    <row r="637" spans="3:120" x14ac:dyDescent="0.25">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10"/>
      <c r="CD637" s="10"/>
      <c r="CE637" s="10"/>
      <c r="CF637" s="10"/>
      <c r="CG637" s="10"/>
      <c r="CH637" s="10"/>
      <c r="CI637" s="10"/>
      <c r="CJ637" s="10"/>
      <c r="CK637" s="10"/>
      <c r="CL637" s="10"/>
      <c r="CM637" s="10"/>
      <c r="CN637" s="10"/>
      <c r="CO637" s="10"/>
      <c r="CP637" s="10"/>
      <c r="CQ637" s="10"/>
      <c r="CR637" s="10"/>
      <c r="CS637" s="10"/>
      <c r="CT637" s="10"/>
      <c r="CU637" s="10"/>
      <c r="CV637" s="10"/>
      <c r="CW637" s="10"/>
      <c r="CX637" s="10"/>
      <c r="CY637" s="10"/>
      <c r="CZ637" s="10"/>
      <c r="DA637" s="10"/>
      <c r="DB637" s="10"/>
      <c r="DC637" s="10"/>
      <c r="DD637" s="10"/>
      <c r="DE637" s="10"/>
      <c r="DF637" s="10"/>
      <c r="DG637" s="10"/>
      <c r="DH637" s="10"/>
      <c r="DI637" s="10"/>
      <c r="DJ637" s="10"/>
      <c r="DK637" s="10"/>
      <c r="DL637" s="10"/>
      <c r="DM637" s="10"/>
      <c r="DN637" s="10"/>
      <c r="DO637" s="10"/>
      <c r="DP637" s="10"/>
    </row>
    <row r="638" spans="3:120" x14ac:dyDescent="0.25">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10"/>
      <c r="CD638" s="10"/>
      <c r="CE638" s="10"/>
      <c r="CF638" s="10"/>
      <c r="CG638" s="10"/>
      <c r="CH638" s="10"/>
      <c r="CI638" s="10"/>
      <c r="CJ638" s="10"/>
      <c r="CK638" s="10"/>
      <c r="CL638" s="10"/>
      <c r="CM638" s="10"/>
      <c r="CN638" s="10"/>
      <c r="CO638" s="10"/>
      <c r="CP638" s="10"/>
      <c r="CQ638" s="10"/>
      <c r="CR638" s="10"/>
      <c r="CS638" s="10"/>
      <c r="CT638" s="10"/>
      <c r="CU638" s="10"/>
      <c r="CV638" s="10"/>
      <c r="CW638" s="10"/>
      <c r="CX638" s="10"/>
      <c r="CY638" s="10"/>
      <c r="CZ638" s="10"/>
      <c r="DA638" s="10"/>
      <c r="DB638" s="10"/>
      <c r="DC638" s="10"/>
      <c r="DD638" s="10"/>
      <c r="DE638" s="10"/>
      <c r="DF638" s="10"/>
      <c r="DG638" s="10"/>
      <c r="DH638" s="10"/>
      <c r="DI638" s="10"/>
      <c r="DJ638" s="10"/>
      <c r="DK638" s="10"/>
      <c r="DL638" s="10"/>
      <c r="DM638" s="10"/>
      <c r="DN638" s="10"/>
      <c r="DO638" s="10"/>
      <c r="DP638" s="10"/>
    </row>
    <row r="639" spans="3:120" x14ac:dyDescent="0.25">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10"/>
      <c r="CD639" s="10"/>
      <c r="CE639" s="10"/>
      <c r="CF639" s="10"/>
      <c r="CG639" s="10"/>
      <c r="CH639" s="10"/>
      <c r="CI639" s="10"/>
      <c r="CJ639" s="10"/>
      <c r="CK639" s="10"/>
      <c r="CL639" s="10"/>
      <c r="CM639" s="10"/>
      <c r="CN639" s="10"/>
      <c r="CO639" s="10"/>
      <c r="CP639" s="10"/>
      <c r="CQ639" s="10"/>
      <c r="CR639" s="10"/>
      <c r="CS639" s="10"/>
      <c r="CT639" s="10"/>
      <c r="CU639" s="10"/>
      <c r="CV639" s="10"/>
      <c r="CW639" s="10"/>
      <c r="CX639" s="10"/>
      <c r="CY639" s="10"/>
      <c r="CZ639" s="10"/>
      <c r="DA639" s="10"/>
      <c r="DB639" s="10"/>
      <c r="DC639" s="10"/>
      <c r="DD639" s="10"/>
      <c r="DE639" s="10"/>
      <c r="DF639" s="10"/>
      <c r="DG639" s="10"/>
      <c r="DH639" s="10"/>
      <c r="DI639" s="10"/>
      <c r="DJ639" s="10"/>
      <c r="DK639" s="10"/>
      <c r="DL639" s="10"/>
      <c r="DM639" s="10"/>
      <c r="DN639" s="10"/>
      <c r="DO639" s="10"/>
      <c r="DP639" s="10"/>
    </row>
    <row r="640" spans="3:120" x14ac:dyDescent="0.25">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10"/>
      <c r="CD640" s="10"/>
      <c r="CE640" s="10"/>
      <c r="CF640" s="10"/>
      <c r="CG640" s="10"/>
      <c r="CH640" s="10"/>
      <c r="CI640" s="10"/>
      <c r="CJ640" s="10"/>
      <c r="CK640" s="10"/>
      <c r="CL640" s="10"/>
      <c r="CM640" s="10"/>
      <c r="CN640" s="10"/>
      <c r="CO640" s="10"/>
      <c r="CP640" s="10"/>
      <c r="CQ640" s="10"/>
      <c r="CR640" s="10"/>
      <c r="CS640" s="10"/>
      <c r="CT640" s="10"/>
      <c r="CU640" s="10"/>
      <c r="CV640" s="10"/>
      <c r="CW640" s="10"/>
      <c r="CX640" s="10"/>
      <c r="CY640" s="10"/>
      <c r="CZ640" s="10"/>
      <c r="DA640" s="10"/>
      <c r="DB640" s="10"/>
      <c r="DC640" s="10"/>
      <c r="DD640" s="10"/>
      <c r="DE640" s="10"/>
      <c r="DF640" s="10"/>
      <c r="DG640" s="10"/>
      <c r="DH640" s="10"/>
      <c r="DI640" s="10"/>
      <c r="DJ640" s="10"/>
      <c r="DK640" s="10"/>
      <c r="DL640" s="10"/>
      <c r="DM640" s="10"/>
      <c r="DN640" s="10"/>
      <c r="DO640" s="10"/>
      <c r="DP640" s="10"/>
    </row>
    <row r="641" spans="3:120" x14ac:dyDescent="0.25">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10"/>
      <c r="CD641" s="10"/>
      <c r="CE641" s="10"/>
      <c r="CF641" s="10"/>
      <c r="CG641" s="10"/>
      <c r="CH641" s="10"/>
      <c r="CI641" s="10"/>
      <c r="CJ641" s="10"/>
      <c r="CK641" s="10"/>
      <c r="CL641" s="10"/>
      <c r="CM641" s="10"/>
      <c r="CN641" s="10"/>
      <c r="CO641" s="10"/>
      <c r="CP641" s="10"/>
      <c r="CQ641" s="10"/>
      <c r="CR641" s="10"/>
      <c r="CS641" s="10"/>
      <c r="CT641" s="10"/>
      <c r="CU641" s="10"/>
      <c r="CV641" s="10"/>
      <c r="CW641" s="10"/>
      <c r="CX641" s="10"/>
      <c r="CY641" s="10"/>
      <c r="CZ641" s="10"/>
      <c r="DA641" s="10"/>
      <c r="DB641" s="10"/>
      <c r="DC641" s="10"/>
      <c r="DD641" s="10"/>
      <c r="DE641" s="10"/>
      <c r="DF641" s="10"/>
      <c r="DG641" s="10"/>
      <c r="DH641" s="10"/>
      <c r="DI641" s="10"/>
      <c r="DJ641" s="10"/>
      <c r="DK641" s="10"/>
      <c r="DL641" s="10"/>
      <c r="DM641" s="10"/>
      <c r="DN641" s="10"/>
      <c r="DO641" s="10"/>
      <c r="DP641" s="10"/>
    </row>
    <row r="642" spans="3:120" x14ac:dyDescent="0.25">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c r="CA642" s="10"/>
      <c r="CB642" s="10"/>
      <c r="CC642" s="10"/>
      <c r="CD642" s="10"/>
      <c r="CE642" s="10"/>
      <c r="CF642" s="10"/>
      <c r="CG642" s="10"/>
      <c r="CH642" s="10"/>
      <c r="CI642" s="10"/>
      <c r="CJ642" s="10"/>
      <c r="CK642" s="10"/>
      <c r="CL642" s="10"/>
      <c r="CM642" s="10"/>
      <c r="CN642" s="10"/>
      <c r="CO642" s="10"/>
      <c r="CP642" s="10"/>
      <c r="CQ642" s="10"/>
      <c r="CR642" s="10"/>
      <c r="CS642" s="10"/>
      <c r="CT642" s="10"/>
      <c r="CU642" s="10"/>
      <c r="CV642" s="10"/>
      <c r="CW642" s="10"/>
      <c r="CX642" s="10"/>
      <c r="CY642" s="10"/>
      <c r="CZ642" s="10"/>
      <c r="DA642" s="10"/>
      <c r="DB642" s="10"/>
      <c r="DC642" s="10"/>
      <c r="DD642" s="10"/>
      <c r="DE642" s="10"/>
      <c r="DF642" s="10"/>
      <c r="DG642" s="10"/>
      <c r="DH642" s="10"/>
      <c r="DI642" s="10"/>
      <c r="DJ642" s="10"/>
      <c r="DK642" s="10"/>
      <c r="DL642" s="10"/>
      <c r="DM642" s="10"/>
      <c r="DN642" s="10"/>
      <c r="DO642" s="10"/>
      <c r="DP642" s="10"/>
    </row>
    <row r="643" spans="3:120" x14ac:dyDescent="0.25">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c r="CA643" s="10"/>
      <c r="CB643" s="10"/>
      <c r="CC643" s="10"/>
      <c r="CD643" s="10"/>
      <c r="CE643" s="10"/>
      <c r="CF643" s="10"/>
      <c r="CG643" s="10"/>
      <c r="CH643" s="10"/>
      <c r="CI643" s="10"/>
      <c r="CJ643" s="10"/>
      <c r="CK643" s="10"/>
      <c r="CL643" s="10"/>
      <c r="CM643" s="10"/>
      <c r="CN643" s="10"/>
      <c r="CO643" s="10"/>
      <c r="CP643" s="10"/>
      <c r="CQ643" s="10"/>
      <c r="CR643" s="10"/>
      <c r="CS643" s="10"/>
      <c r="CT643" s="10"/>
      <c r="CU643" s="10"/>
      <c r="CV643" s="10"/>
      <c r="CW643" s="10"/>
      <c r="CX643" s="10"/>
      <c r="CY643" s="10"/>
      <c r="CZ643" s="10"/>
      <c r="DA643" s="10"/>
      <c r="DB643" s="10"/>
      <c r="DC643" s="10"/>
      <c r="DD643" s="10"/>
      <c r="DE643" s="10"/>
      <c r="DF643" s="10"/>
      <c r="DG643" s="10"/>
      <c r="DH643" s="10"/>
      <c r="DI643" s="10"/>
      <c r="DJ643" s="10"/>
      <c r="DK643" s="10"/>
      <c r="DL643" s="10"/>
      <c r="DM643" s="10"/>
      <c r="DN643" s="10"/>
      <c r="DO643" s="10"/>
      <c r="DP643" s="10"/>
    </row>
    <row r="644" spans="3:120" x14ac:dyDescent="0.25">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c r="CA644" s="10"/>
      <c r="CB644" s="10"/>
      <c r="CC644" s="10"/>
      <c r="CD644" s="10"/>
      <c r="CE644" s="10"/>
      <c r="CF644" s="10"/>
      <c r="CG644" s="10"/>
      <c r="CH644" s="10"/>
      <c r="CI644" s="10"/>
      <c r="CJ644" s="10"/>
      <c r="CK644" s="10"/>
      <c r="CL644" s="10"/>
      <c r="CM644" s="10"/>
      <c r="CN644" s="10"/>
      <c r="CO644" s="10"/>
      <c r="CP644" s="10"/>
      <c r="CQ644" s="10"/>
      <c r="CR644" s="10"/>
      <c r="CS644" s="10"/>
      <c r="CT644" s="10"/>
      <c r="CU644" s="10"/>
      <c r="CV644" s="10"/>
      <c r="CW644" s="10"/>
      <c r="CX644" s="10"/>
      <c r="CY644" s="10"/>
      <c r="CZ644" s="10"/>
      <c r="DA644" s="10"/>
      <c r="DB644" s="10"/>
      <c r="DC644" s="10"/>
      <c r="DD644" s="10"/>
      <c r="DE644" s="10"/>
      <c r="DF644" s="10"/>
      <c r="DG644" s="10"/>
      <c r="DH644" s="10"/>
      <c r="DI644" s="10"/>
      <c r="DJ644" s="10"/>
      <c r="DK644" s="10"/>
      <c r="DL644" s="10"/>
      <c r="DM644" s="10"/>
      <c r="DN644" s="10"/>
      <c r="DO644" s="10"/>
      <c r="DP644" s="10"/>
    </row>
    <row r="645" spans="3:120" x14ac:dyDescent="0.25">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c r="BZ645" s="10"/>
      <c r="CA645" s="10"/>
      <c r="CB645" s="10"/>
      <c r="CC645" s="10"/>
      <c r="CD645" s="10"/>
      <c r="CE645" s="10"/>
      <c r="CF645" s="10"/>
      <c r="CG645" s="10"/>
      <c r="CH645" s="10"/>
      <c r="CI645" s="10"/>
      <c r="CJ645" s="10"/>
      <c r="CK645" s="10"/>
      <c r="CL645" s="10"/>
      <c r="CM645" s="10"/>
      <c r="CN645" s="10"/>
      <c r="CO645" s="10"/>
      <c r="CP645" s="10"/>
      <c r="CQ645" s="10"/>
      <c r="CR645" s="10"/>
      <c r="CS645" s="10"/>
      <c r="CT645" s="10"/>
      <c r="CU645" s="10"/>
      <c r="CV645" s="10"/>
      <c r="CW645" s="10"/>
      <c r="CX645" s="10"/>
      <c r="CY645" s="10"/>
      <c r="CZ645" s="10"/>
      <c r="DA645" s="10"/>
      <c r="DB645" s="10"/>
      <c r="DC645" s="10"/>
      <c r="DD645" s="10"/>
      <c r="DE645" s="10"/>
      <c r="DF645" s="10"/>
      <c r="DG645" s="10"/>
      <c r="DH645" s="10"/>
      <c r="DI645" s="10"/>
      <c r="DJ645" s="10"/>
      <c r="DK645" s="10"/>
      <c r="DL645" s="10"/>
      <c r="DM645" s="10"/>
      <c r="DN645" s="10"/>
      <c r="DO645" s="10"/>
      <c r="DP645" s="10"/>
    </row>
    <row r="646" spans="3:120" x14ac:dyDescent="0.25">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c r="CA646" s="10"/>
      <c r="CB646" s="10"/>
      <c r="CC646" s="10"/>
      <c r="CD646" s="10"/>
      <c r="CE646" s="10"/>
      <c r="CF646" s="10"/>
      <c r="CG646" s="10"/>
      <c r="CH646" s="10"/>
      <c r="CI646" s="10"/>
      <c r="CJ646" s="10"/>
      <c r="CK646" s="10"/>
      <c r="CL646" s="10"/>
      <c r="CM646" s="10"/>
      <c r="CN646" s="10"/>
      <c r="CO646" s="10"/>
      <c r="CP646" s="10"/>
      <c r="CQ646" s="10"/>
      <c r="CR646" s="10"/>
      <c r="CS646" s="10"/>
      <c r="CT646" s="10"/>
      <c r="CU646" s="10"/>
      <c r="CV646" s="10"/>
      <c r="CW646" s="10"/>
      <c r="CX646" s="10"/>
      <c r="CY646" s="10"/>
      <c r="CZ646" s="10"/>
      <c r="DA646" s="10"/>
      <c r="DB646" s="10"/>
      <c r="DC646" s="10"/>
      <c r="DD646" s="10"/>
      <c r="DE646" s="10"/>
      <c r="DF646" s="10"/>
      <c r="DG646" s="10"/>
      <c r="DH646" s="10"/>
      <c r="DI646" s="10"/>
      <c r="DJ646" s="10"/>
      <c r="DK646" s="10"/>
      <c r="DL646" s="10"/>
      <c r="DM646" s="10"/>
      <c r="DN646" s="10"/>
      <c r="DO646" s="10"/>
      <c r="DP646" s="10"/>
    </row>
    <row r="647" spans="3:120" x14ac:dyDescent="0.25">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10"/>
      <c r="CD647" s="10"/>
      <c r="CE647" s="10"/>
      <c r="CF647" s="10"/>
      <c r="CG647" s="10"/>
      <c r="CH647" s="10"/>
      <c r="CI647" s="10"/>
      <c r="CJ647" s="10"/>
      <c r="CK647" s="10"/>
      <c r="CL647" s="10"/>
      <c r="CM647" s="10"/>
      <c r="CN647" s="10"/>
      <c r="CO647" s="10"/>
      <c r="CP647" s="10"/>
      <c r="CQ647" s="10"/>
      <c r="CR647" s="10"/>
      <c r="CS647" s="10"/>
      <c r="CT647" s="10"/>
      <c r="CU647" s="10"/>
      <c r="CV647" s="10"/>
      <c r="CW647" s="10"/>
      <c r="CX647" s="10"/>
      <c r="CY647" s="10"/>
      <c r="CZ647" s="10"/>
      <c r="DA647" s="10"/>
      <c r="DB647" s="10"/>
      <c r="DC647" s="10"/>
      <c r="DD647" s="10"/>
      <c r="DE647" s="10"/>
      <c r="DF647" s="10"/>
      <c r="DG647" s="10"/>
      <c r="DH647" s="10"/>
      <c r="DI647" s="10"/>
      <c r="DJ647" s="10"/>
      <c r="DK647" s="10"/>
      <c r="DL647" s="10"/>
      <c r="DM647" s="10"/>
      <c r="DN647" s="10"/>
      <c r="DO647" s="10"/>
      <c r="DP647" s="10"/>
    </row>
    <row r="648" spans="3:120" x14ac:dyDescent="0.25">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10"/>
      <c r="CD648" s="10"/>
      <c r="CE648" s="10"/>
      <c r="CF648" s="10"/>
      <c r="CG648" s="10"/>
      <c r="CH648" s="10"/>
      <c r="CI648" s="10"/>
      <c r="CJ648" s="10"/>
      <c r="CK648" s="10"/>
      <c r="CL648" s="10"/>
      <c r="CM648" s="10"/>
      <c r="CN648" s="10"/>
      <c r="CO648" s="10"/>
      <c r="CP648" s="10"/>
      <c r="CQ648" s="10"/>
      <c r="CR648" s="10"/>
      <c r="CS648" s="10"/>
      <c r="CT648" s="10"/>
      <c r="CU648" s="10"/>
      <c r="CV648" s="10"/>
      <c r="CW648" s="10"/>
      <c r="CX648" s="10"/>
      <c r="CY648" s="10"/>
      <c r="CZ648" s="10"/>
      <c r="DA648" s="10"/>
      <c r="DB648" s="10"/>
      <c r="DC648" s="10"/>
      <c r="DD648" s="10"/>
      <c r="DE648" s="10"/>
      <c r="DF648" s="10"/>
      <c r="DG648" s="10"/>
      <c r="DH648" s="10"/>
      <c r="DI648" s="10"/>
      <c r="DJ648" s="10"/>
      <c r="DK648" s="10"/>
      <c r="DL648" s="10"/>
      <c r="DM648" s="10"/>
      <c r="DN648" s="10"/>
      <c r="DO648" s="10"/>
      <c r="DP648" s="10"/>
    </row>
    <row r="649" spans="3:120" x14ac:dyDescent="0.25">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10"/>
      <c r="CD649" s="10"/>
      <c r="CE649" s="10"/>
      <c r="CF649" s="10"/>
      <c r="CG649" s="10"/>
      <c r="CH649" s="10"/>
      <c r="CI649" s="10"/>
      <c r="CJ649" s="10"/>
      <c r="CK649" s="10"/>
      <c r="CL649" s="10"/>
      <c r="CM649" s="10"/>
      <c r="CN649" s="10"/>
      <c r="CO649" s="10"/>
      <c r="CP649" s="10"/>
      <c r="CQ649" s="10"/>
      <c r="CR649" s="10"/>
      <c r="CS649" s="10"/>
      <c r="CT649" s="10"/>
      <c r="CU649" s="10"/>
      <c r="CV649" s="10"/>
      <c r="CW649" s="10"/>
      <c r="CX649" s="10"/>
      <c r="CY649" s="10"/>
      <c r="CZ649" s="10"/>
      <c r="DA649" s="10"/>
      <c r="DB649" s="10"/>
      <c r="DC649" s="10"/>
      <c r="DD649" s="10"/>
      <c r="DE649" s="10"/>
      <c r="DF649" s="10"/>
      <c r="DG649" s="10"/>
      <c r="DH649" s="10"/>
      <c r="DI649" s="10"/>
      <c r="DJ649" s="10"/>
      <c r="DK649" s="10"/>
      <c r="DL649" s="10"/>
      <c r="DM649" s="10"/>
      <c r="DN649" s="10"/>
      <c r="DO649" s="10"/>
      <c r="DP649" s="10"/>
    </row>
    <row r="650" spans="3:120" x14ac:dyDescent="0.25">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c r="CA650" s="10"/>
      <c r="CB650" s="10"/>
      <c r="CC650" s="10"/>
      <c r="CD650" s="10"/>
      <c r="CE650" s="10"/>
      <c r="CF650" s="10"/>
      <c r="CG650" s="10"/>
      <c r="CH650" s="10"/>
      <c r="CI650" s="10"/>
      <c r="CJ650" s="10"/>
      <c r="CK650" s="10"/>
      <c r="CL650" s="10"/>
      <c r="CM650" s="10"/>
      <c r="CN650" s="10"/>
      <c r="CO650" s="10"/>
      <c r="CP650" s="10"/>
      <c r="CQ650" s="10"/>
      <c r="CR650" s="10"/>
      <c r="CS650" s="10"/>
      <c r="CT650" s="10"/>
      <c r="CU650" s="10"/>
      <c r="CV650" s="10"/>
      <c r="CW650" s="10"/>
      <c r="CX650" s="10"/>
      <c r="CY650" s="10"/>
      <c r="CZ650" s="10"/>
      <c r="DA650" s="10"/>
      <c r="DB650" s="10"/>
      <c r="DC650" s="10"/>
      <c r="DD650" s="10"/>
      <c r="DE650" s="10"/>
      <c r="DF650" s="10"/>
      <c r="DG650" s="10"/>
      <c r="DH650" s="10"/>
      <c r="DI650" s="10"/>
      <c r="DJ650" s="10"/>
      <c r="DK650" s="10"/>
      <c r="DL650" s="10"/>
      <c r="DM650" s="10"/>
      <c r="DN650" s="10"/>
      <c r="DO650" s="10"/>
      <c r="DP650" s="10"/>
    </row>
    <row r="651" spans="3:120" x14ac:dyDescent="0.25">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10"/>
      <c r="CD651" s="10"/>
      <c r="CE651" s="10"/>
      <c r="CF651" s="10"/>
      <c r="CG651" s="10"/>
      <c r="CH651" s="10"/>
      <c r="CI651" s="10"/>
      <c r="CJ651" s="10"/>
      <c r="CK651" s="10"/>
      <c r="CL651" s="10"/>
      <c r="CM651" s="10"/>
      <c r="CN651" s="10"/>
      <c r="CO651" s="10"/>
      <c r="CP651" s="10"/>
      <c r="CQ651" s="10"/>
      <c r="CR651" s="10"/>
      <c r="CS651" s="10"/>
      <c r="CT651" s="10"/>
      <c r="CU651" s="10"/>
      <c r="CV651" s="10"/>
      <c r="CW651" s="10"/>
      <c r="CX651" s="10"/>
      <c r="CY651" s="10"/>
      <c r="CZ651" s="10"/>
      <c r="DA651" s="10"/>
      <c r="DB651" s="10"/>
      <c r="DC651" s="10"/>
      <c r="DD651" s="10"/>
      <c r="DE651" s="10"/>
      <c r="DF651" s="10"/>
      <c r="DG651" s="10"/>
      <c r="DH651" s="10"/>
      <c r="DI651" s="10"/>
      <c r="DJ651" s="10"/>
      <c r="DK651" s="10"/>
      <c r="DL651" s="10"/>
      <c r="DM651" s="10"/>
      <c r="DN651" s="10"/>
      <c r="DO651" s="10"/>
      <c r="DP651" s="10"/>
    </row>
    <row r="652" spans="3:120" x14ac:dyDescent="0.25">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c r="CA652" s="10"/>
      <c r="CB652" s="10"/>
      <c r="CC652" s="10"/>
      <c r="CD652" s="10"/>
      <c r="CE652" s="10"/>
      <c r="CF652" s="10"/>
      <c r="CG652" s="10"/>
      <c r="CH652" s="10"/>
      <c r="CI652" s="10"/>
      <c r="CJ652" s="10"/>
      <c r="CK652" s="10"/>
      <c r="CL652" s="10"/>
      <c r="CM652" s="10"/>
      <c r="CN652" s="10"/>
      <c r="CO652" s="10"/>
      <c r="CP652" s="10"/>
      <c r="CQ652" s="10"/>
      <c r="CR652" s="10"/>
      <c r="CS652" s="10"/>
      <c r="CT652" s="10"/>
      <c r="CU652" s="10"/>
      <c r="CV652" s="10"/>
      <c r="CW652" s="10"/>
      <c r="CX652" s="10"/>
      <c r="CY652" s="10"/>
      <c r="CZ652" s="10"/>
      <c r="DA652" s="10"/>
      <c r="DB652" s="10"/>
      <c r="DC652" s="10"/>
      <c r="DD652" s="10"/>
      <c r="DE652" s="10"/>
      <c r="DF652" s="10"/>
      <c r="DG652" s="10"/>
      <c r="DH652" s="10"/>
      <c r="DI652" s="10"/>
      <c r="DJ652" s="10"/>
      <c r="DK652" s="10"/>
      <c r="DL652" s="10"/>
      <c r="DM652" s="10"/>
      <c r="DN652" s="10"/>
      <c r="DO652" s="10"/>
      <c r="DP652" s="10"/>
    </row>
    <row r="653" spans="3:120" x14ac:dyDescent="0.25">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workbookViewId="0">
      <selection activeCell="I21" sqref="I21"/>
    </sheetView>
  </sheetViews>
  <sheetFormatPr defaultRowHeight="13.2" x14ac:dyDescent="0.25"/>
  <cols>
    <col min="1" max="1" width="17.6640625" customWidth="1"/>
    <col min="13" max="14" width="10.109375" bestFit="1" customWidth="1"/>
    <col min="15" max="15" width="14.6640625" customWidth="1"/>
    <col min="16" max="16" width="10.77734375" customWidth="1"/>
    <col min="17" max="17" width="10.109375" customWidth="1"/>
    <col min="18" max="18" width="10.77734375" customWidth="1"/>
    <col min="19" max="19" width="11" customWidth="1"/>
    <col min="20" max="20" width="11.5546875" customWidth="1"/>
    <col min="21" max="21" width="10.21875" customWidth="1"/>
    <col min="22" max="22" width="10.109375" customWidth="1"/>
    <col min="23" max="23" width="11" customWidth="1"/>
    <col min="24" max="24" width="10.109375" customWidth="1"/>
  </cols>
  <sheetData>
    <row r="1" spans="1:25" ht="13.8" thickBot="1" x14ac:dyDescent="0.3">
      <c r="L1" s="108" t="s">
        <v>549</v>
      </c>
      <c r="M1" s="108"/>
      <c r="N1" s="108"/>
      <c r="O1" s="108"/>
      <c r="P1" s="108"/>
      <c r="Q1" s="108"/>
      <c r="R1" s="109"/>
    </row>
    <row r="2" spans="1:25" hidden="1" x14ac:dyDescent="0.25">
      <c r="A2" s="9" t="s">
        <v>233</v>
      </c>
      <c r="L2" s="109"/>
      <c r="M2" s="109"/>
    </row>
    <row r="3" spans="1:25" hidden="1" x14ac:dyDescent="0.25">
      <c r="A3" s="9" t="s">
        <v>335</v>
      </c>
      <c r="L3" s="109"/>
      <c r="M3" s="109"/>
    </row>
    <row r="4" spans="1:25" hidden="1" x14ac:dyDescent="0.25">
      <c r="A4" s="9"/>
      <c r="L4" s="109"/>
      <c r="M4" s="109"/>
    </row>
    <row r="5" spans="1:25" hidden="1" x14ac:dyDescent="0.25">
      <c r="A5" s="31">
        <v>1019353</v>
      </c>
      <c r="L5" s="109"/>
      <c r="M5" s="109"/>
    </row>
    <row r="6" spans="1:25" hidden="1" x14ac:dyDescent="0.25">
      <c r="B6" s="11" t="s">
        <v>348</v>
      </c>
      <c r="C6" s="11" t="s">
        <v>338</v>
      </c>
      <c r="D6" s="11" t="s">
        <v>339</v>
      </c>
      <c r="E6" s="11" t="s">
        <v>340</v>
      </c>
      <c r="F6" s="11" t="s">
        <v>341</v>
      </c>
      <c r="G6" s="11" t="s">
        <v>342</v>
      </c>
      <c r="H6" s="11" t="s">
        <v>343</v>
      </c>
      <c r="I6" s="11" t="s">
        <v>344</v>
      </c>
      <c r="J6" s="11" t="s">
        <v>346</v>
      </c>
      <c r="K6" s="11" t="s">
        <v>345</v>
      </c>
      <c r="L6" s="111" t="s">
        <v>347</v>
      </c>
      <c r="M6" s="111" t="s">
        <v>349</v>
      </c>
      <c r="N6" s="11" t="s">
        <v>350</v>
      </c>
      <c r="O6" s="11" t="s">
        <v>351</v>
      </c>
    </row>
    <row r="7" spans="1:25" hidden="1" x14ac:dyDescent="0.25">
      <c r="A7" s="11" t="s">
        <v>336</v>
      </c>
      <c r="L7" s="109"/>
      <c r="M7" s="109"/>
      <c r="N7" s="30">
        <f>SUM(B7:M7)</f>
        <v>0</v>
      </c>
      <c r="O7" s="30" t="e">
        <f>AVERAGE(B7:M7)*12</f>
        <v>#DIV/0!</v>
      </c>
    </row>
    <row r="8" spans="1:25" hidden="1" x14ac:dyDescent="0.25">
      <c r="A8" s="11" t="s">
        <v>337</v>
      </c>
      <c r="L8" s="109"/>
      <c r="M8" s="109"/>
      <c r="N8" s="30">
        <f>SUM(B8:M8)</f>
        <v>0</v>
      </c>
      <c r="O8" s="30" t="e">
        <f>AVERAGE(B8:M8)*12</f>
        <v>#DIV/0!</v>
      </c>
    </row>
    <row r="9" spans="1:25" hidden="1" x14ac:dyDescent="0.25">
      <c r="L9" s="109"/>
      <c r="M9" s="109"/>
    </row>
    <row r="10" spans="1:25" hidden="1" x14ac:dyDescent="0.25">
      <c r="A10" s="11" t="s">
        <v>352</v>
      </c>
      <c r="B10" t="e">
        <f>SUM(1019353/O7)</f>
        <v>#DIV/0!</v>
      </c>
      <c r="L10" s="109"/>
      <c r="M10" s="109"/>
    </row>
    <row r="11" spans="1:25" hidden="1" x14ac:dyDescent="0.25">
      <c r="A11" s="11" t="s">
        <v>337</v>
      </c>
      <c r="B11" t="e">
        <f>SUM(1019353/O8)</f>
        <v>#DIV/0!</v>
      </c>
      <c r="L11" s="109"/>
      <c r="M11" s="109"/>
    </row>
    <row r="12" spans="1:25" hidden="1" x14ac:dyDescent="0.25">
      <c r="L12" s="109"/>
      <c r="M12" s="109"/>
    </row>
    <row r="13" spans="1:25" hidden="1" x14ac:dyDescent="0.25">
      <c r="L13" s="109"/>
      <c r="M13" s="109"/>
    </row>
    <row r="14" spans="1:25" x14ac:dyDescent="0.25">
      <c r="A14" s="89" t="s">
        <v>360</v>
      </c>
      <c r="B14" s="90"/>
      <c r="C14" s="90"/>
      <c r="D14" s="90"/>
      <c r="E14" s="90"/>
      <c r="F14" s="90"/>
      <c r="G14" s="90"/>
      <c r="H14" s="91"/>
      <c r="I14" s="108" t="s">
        <v>229</v>
      </c>
      <c r="J14" s="108"/>
      <c r="K14" s="109"/>
      <c r="L14" s="114">
        <v>353978</v>
      </c>
      <c r="M14" s="109"/>
      <c r="N14" s="109"/>
      <c r="O14" s="109"/>
      <c r="P14" s="109"/>
      <c r="Q14" s="109"/>
      <c r="R14" s="109"/>
      <c r="S14" s="109"/>
      <c r="T14" s="109"/>
      <c r="U14" s="109"/>
      <c r="V14" s="109"/>
      <c r="W14" s="109"/>
      <c r="X14" s="109"/>
      <c r="Y14" s="109"/>
    </row>
    <row r="15" spans="1:25" x14ac:dyDescent="0.25">
      <c r="A15" s="92"/>
      <c r="B15" s="93"/>
      <c r="C15" s="93"/>
      <c r="D15" s="93"/>
      <c r="E15" s="93"/>
      <c r="F15" s="93"/>
      <c r="G15" s="93"/>
      <c r="H15" s="94"/>
      <c r="I15" s="109"/>
      <c r="J15" s="109"/>
      <c r="K15" s="109"/>
      <c r="L15" s="109"/>
      <c r="M15" s="110" t="s">
        <v>87</v>
      </c>
      <c r="N15" s="110" t="s">
        <v>88</v>
      </c>
      <c r="O15" s="110" t="s">
        <v>89</v>
      </c>
      <c r="P15" s="110" t="s">
        <v>15</v>
      </c>
      <c r="Q15" s="110" t="s">
        <v>16</v>
      </c>
      <c r="R15" s="110" t="s">
        <v>17</v>
      </c>
      <c r="S15" s="110" t="s">
        <v>33</v>
      </c>
      <c r="T15" s="110" t="s">
        <v>34</v>
      </c>
      <c r="U15" s="110" t="s">
        <v>35</v>
      </c>
      <c r="V15" s="110" t="s">
        <v>541</v>
      </c>
      <c r="W15" s="110" t="s">
        <v>540</v>
      </c>
      <c r="X15" s="110" t="s">
        <v>38</v>
      </c>
      <c r="Y15" s="110" t="s">
        <v>350</v>
      </c>
    </row>
    <row r="16" spans="1:25" ht="13.8" thickBot="1" x14ac:dyDescent="0.3">
      <c r="A16" s="92" t="s">
        <v>361</v>
      </c>
      <c r="B16" s="93"/>
      <c r="C16" s="95" t="s">
        <v>538</v>
      </c>
      <c r="D16" s="93"/>
      <c r="E16" s="93"/>
      <c r="F16" s="93"/>
      <c r="G16" s="93"/>
      <c r="H16" s="94"/>
      <c r="I16" s="111" t="s">
        <v>548</v>
      </c>
      <c r="J16" s="109"/>
      <c r="K16" s="109"/>
      <c r="L16" s="109"/>
      <c r="M16" s="112">
        <v>73</v>
      </c>
      <c r="N16" s="109">
        <v>80</v>
      </c>
      <c r="O16" s="109">
        <v>92</v>
      </c>
      <c r="P16" s="109">
        <v>89</v>
      </c>
      <c r="Q16" s="109">
        <v>90</v>
      </c>
      <c r="R16" s="109">
        <v>85</v>
      </c>
      <c r="S16" s="109">
        <v>96</v>
      </c>
      <c r="T16" s="109">
        <v>121</v>
      </c>
      <c r="U16" s="109"/>
      <c r="V16" s="109"/>
      <c r="W16" s="109"/>
      <c r="X16" s="109"/>
      <c r="Y16" s="109"/>
    </row>
    <row r="17" spans="1:25" x14ac:dyDescent="0.25">
      <c r="A17" s="96">
        <v>63069</v>
      </c>
      <c r="B17" s="93"/>
      <c r="C17" s="93"/>
      <c r="D17" s="93"/>
      <c r="E17" s="93"/>
      <c r="F17" s="93"/>
      <c r="G17" s="93"/>
      <c r="H17" s="93"/>
      <c r="I17" s="90"/>
      <c r="J17" s="90"/>
      <c r="K17" s="90"/>
      <c r="L17" s="90"/>
      <c r="M17" s="90"/>
      <c r="N17" s="91"/>
    </row>
    <row r="18" spans="1:25" x14ac:dyDescent="0.25">
      <c r="A18" s="97">
        <v>1248686</v>
      </c>
      <c r="B18" s="106" t="s">
        <v>87</v>
      </c>
      <c r="C18" s="106" t="s">
        <v>88</v>
      </c>
      <c r="D18" s="106" t="s">
        <v>89</v>
      </c>
      <c r="E18" s="106" t="s">
        <v>15</v>
      </c>
      <c r="F18" s="106" t="s">
        <v>16</v>
      </c>
      <c r="G18" s="106" t="s">
        <v>17</v>
      </c>
      <c r="H18" s="106" t="s">
        <v>33</v>
      </c>
      <c r="I18" s="106" t="s">
        <v>34</v>
      </c>
      <c r="J18" s="106" t="s">
        <v>35</v>
      </c>
      <c r="K18" s="106" t="s">
        <v>36</v>
      </c>
      <c r="L18" s="106" t="s">
        <v>540</v>
      </c>
      <c r="M18" s="106" t="s">
        <v>38</v>
      </c>
      <c r="N18" s="107" t="s">
        <v>350</v>
      </c>
    </row>
    <row r="19" spans="1:25" x14ac:dyDescent="0.25">
      <c r="A19" s="98" t="s">
        <v>362</v>
      </c>
      <c r="B19" s="102">
        <v>11252</v>
      </c>
      <c r="C19" s="102">
        <v>10780</v>
      </c>
      <c r="D19" s="102">
        <v>8065</v>
      </c>
      <c r="E19" s="102">
        <v>10199</v>
      </c>
      <c r="F19" s="102">
        <v>7741</v>
      </c>
      <c r="G19" s="102">
        <v>6793</v>
      </c>
      <c r="H19" s="102">
        <v>8626</v>
      </c>
      <c r="I19" s="102">
        <v>8153</v>
      </c>
      <c r="J19" s="102"/>
      <c r="K19" s="102"/>
      <c r="L19" s="102"/>
      <c r="M19" s="102"/>
      <c r="N19" s="103">
        <f>AVERAGE(B19:L19)*12</f>
        <v>107413.5</v>
      </c>
    </row>
    <row r="20" spans="1:25" ht="13.8" thickBot="1" x14ac:dyDescent="0.3">
      <c r="A20" s="98" t="s">
        <v>363</v>
      </c>
      <c r="B20" s="102">
        <v>13704</v>
      </c>
      <c r="C20" s="102">
        <v>13287</v>
      </c>
      <c r="D20" s="102">
        <v>10473</v>
      </c>
      <c r="E20" s="102">
        <v>12645</v>
      </c>
      <c r="F20" s="102">
        <v>9738</v>
      </c>
      <c r="G20" s="102">
        <v>8689</v>
      </c>
      <c r="H20" s="102">
        <v>11144</v>
      </c>
      <c r="I20" s="104">
        <v>10389</v>
      </c>
      <c r="J20" s="104"/>
      <c r="K20" s="104"/>
      <c r="L20" s="104"/>
      <c r="M20" s="104"/>
      <c r="N20" s="105">
        <f>AVERAGE(B20:L20)*12</f>
        <v>135103.5</v>
      </c>
    </row>
    <row r="21" spans="1:25" x14ac:dyDescent="0.25">
      <c r="A21" s="92"/>
      <c r="B21" s="93"/>
      <c r="C21" s="93"/>
      <c r="D21" s="93"/>
      <c r="E21" s="93"/>
      <c r="F21" s="93"/>
      <c r="G21" s="93"/>
      <c r="H21" s="94"/>
      <c r="I21" s="111" t="s">
        <v>543</v>
      </c>
      <c r="J21" s="109"/>
      <c r="K21" s="109"/>
      <c r="L21" s="109"/>
      <c r="M21" s="115">
        <f>SUM(L14/12)</f>
        <v>29498.166666666668</v>
      </c>
      <c r="N21" s="115">
        <f>SUM(L14/12)</f>
        <v>29498.166666666668</v>
      </c>
      <c r="O21" s="115">
        <f>SUM(L14/12)</f>
        <v>29498.166666666668</v>
      </c>
      <c r="P21" s="115">
        <f>SUM(L14/12)</f>
        <v>29498.166666666668</v>
      </c>
      <c r="Q21" s="115">
        <f>SUM(L14/12)</f>
        <v>29498.166666666668</v>
      </c>
      <c r="R21" s="115">
        <f>SUM(L14/12)</f>
        <v>29498.166666666668</v>
      </c>
      <c r="S21" s="115">
        <v>29498.17</v>
      </c>
      <c r="T21" s="115">
        <v>29498.17</v>
      </c>
      <c r="U21" s="115"/>
      <c r="V21" s="115"/>
      <c r="W21" s="115"/>
      <c r="X21" s="115"/>
      <c r="Y21" s="109"/>
    </row>
    <row r="22" spans="1:25" x14ac:dyDescent="0.25">
      <c r="A22" s="92" t="s">
        <v>364</v>
      </c>
      <c r="B22" s="93"/>
      <c r="C22" s="93"/>
      <c r="D22" s="93"/>
      <c r="E22" s="93"/>
      <c r="F22" s="93">
        <f>SUM(N19/A17)</f>
        <v>1.7031108785615754</v>
      </c>
      <c r="G22" s="93"/>
      <c r="H22" s="94"/>
      <c r="I22" s="111" t="s">
        <v>542</v>
      </c>
      <c r="J22" s="109"/>
      <c r="K22" s="109"/>
      <c r="L22" s="109"/>
      <c r="M22" s="109">
        <f>SUM(M21)/(M16*21)</f>
        <v>19.242117851706894</v>
      </c>
      <c r="N22" s="109">
        <f>SUM(N21)/(N16*21)</f>
        <v>17.558432539682542</v>
      </c>
      <c r="O22" s="109">
        <f>SUM(O21)/(O16*21)</f>
        <v>15.2682022084196</v>
      </c>
      <c r="P22" s="109">
        <f>SUM(P21)/(P16*21)</f>
        <v>15.782860709827002</v>
      </c>
      <c r="Q22" s="109">
        <f>SUM(Q21)/(Q16*19)</f>
        <v>17.25038986354776</v>
      </c>
      <c r="R22" s="109">
        <f>SUM(R21)/(R16*18)</f>
        <v>19.279847494553376</v>
      </c>
      <c r="S22" s="109">
        <f>SUM(S21)/(S16*18)</f>
        <v>17.070700231481482</v>
      </c>
      <c r="T22" s="109">
        <f>SUM(T21)/(T16*18)</f>
        <v>13.543696051423323</v>
      </c>
      <c r="U22" s="109"/>
      <c r="V22" s="109"/>
      <c r="W22" s="109"/>
      <c r="X22" s="109"/>
      <c r="Y22" s="109"/>
    </row>
    <row r="23" spans="1:25" x14ac:dyDescent="0.25">
      <c r="A23" s="92" t="s">
        <v>365</v>
      </c>
      <c r="B23" s="93"/>
      <c r="C23" s="93"/>
      <c r="D23" s="93"/>
      <c r="E23" s="93"/>
      <c r="F23" s="93">
        <f>SUM(N20/A17)</f>
        <v>2.1421538315178612</v>
      </c>
      <c r="G23" s="93"/>
      <c r="H23" s="94"/>
    </row>
    <row r="24" spans="1:25" ht="13.8" thickBot="1" x14ac:dyDescent="0.3">
      <c r="A24" s="99" t="s">
        <v>366</v>
      </c>
      <c r="B24" s="100"/>
      <c r="C24" s="100"/>
      <c r="D24" s="100"/>
      <c r="E24" s="100"/>
      <c r="F24" s="100">
        <f>SUM(A18/N20)</f>
        <v>9.2424400552169264</v>
      </c>
      <c r="G24" s="100"/>
      <c r="H24" s="101"/>
      <c r="I24" s="109"/>
      <c r="J24" s="109"/>
      <c r="K24" s="109"/>
      <c r="L24" s="108" t="s">
        <v>550</v>
      </c>
      <c r="M24" s="108"/>
      <c r="N24" s="108"/>
      <c r="O24" s="114">
        <v>44500</v>
      </c>
      <c r="P24" s="109"/>
      <c r="Q24" s="109"/>
      <c r="R24" s="109"/>
      <c r="S24" s="109"/>
      <c r="T24" s="109"/>
      <c r="U24" s="109"/>
      <c r="V24" s="109"/>
      <c r="W24" s="109"/>
      <c r="X24" s="109"/>
      <c r="Y24" s="109"/>
    </row>
    <row r="25" spans="1:25" x14ac:dyDescent="0.25">
      <c r="I25" s="111" t="s">
        <v>547</v>
      </c>
      <c r="J25" s="109"/>
      <c r="K25" s="109"/>
      <c r="L25" s="109"/>
      <c r="M25" s="112">
        <v>0</v>
      </c>
      <c r="N25" s="112">
        <v>0</v>
      </c>
      <c r="O25" s="112">
        <v>0</v>
      </c>
      <c r="P25" s="112">
        <v>19</v>
      </c>
      <c r="Q25" s="112">
        <v>25</v>
      </c>
      <c r="R25" s="112">
        <v>17</v>
      </c>
      <c r="S25" s="112">
        <v>27</v>
      </c>
      <c r="T25" s="112">
        <v>24</v>
      </c>
      <c r="U25" s="112"/>
      <c r="V25" s="112"/>
      <c r="W25" s="112"/>
      <c r="X25" s="112"/>
      <c r="Y25" s="112"/>
    </row>
    <row r="26" spans="1:25" x14ac:dyDescent="0.25">
      <c r="I26" s="113" t="s">
        <v>543</v>
      </c>
      <c r="J26" s="109"/>
      <c r="K26" s="109"/>
      <c r="L26" s="109"/>
      <c r="M26" s="112"/>
      <c r="N26" s="112"/>
      <c r="O26" s="112"/>
      <c r="P26" s="117">
        <v>4398</v>
      </c>
      <c r="Q26" s="117">
        <v>3783</v>
      </c>
      <c r="R26" s="117">
        <v>3870</v>
      </c>
      <c r="S26" s="117">
        <v>3800</v>
      </c>
      <c r="T26" s="117">
        <v>3800</v>
      </c>
      <c r="U26" s="117"/>
      <c r="V26" s="117"/>
      <c r="W26" s="117"/>
      <c r="X26" s="117"/>
      <c r="Y26" s="117"/>
    </row>
    <row r="27" spans="1:25" x14ac:dyDescent="0.25">
      <c r="I27" s="113" t="s">
        <v>542</v>
      </c>
      <c r="J27" s="109"/>
      <c r="K27" s="109"/>
      <c r="L27" s="109"/>
      <c r="M27" s="112"/>
      <c r="N27" s="112"/>
      <c r="O27" s="112"/>
      <c r="P27" s="116">
        <f>SUM(P26)/(P25*13)</f>
        <v>17.805668016194332</v>
      </c>
      <c r="Q27" s="116">
        <f>SUM(Q26)/(Q25*19)</f>
        <v>7.9642105263157896</v>
      </c>
      <c r="R27" s="116">
        <f>SUM(R26)/(R25*19)</f>
        <v>11.981424148606811</v>
      </c>
      <c r="S27" s="116">
        <f>SUM(S26)/(S25*19)</f>
        <v>7.4074074074074074</v>
      </c>
      <c r="T27" s="116">
        <f>SUM(T26)/(T25*19)</f>
        <v>8.3333333333333339</v>
      </c>
      <c r="U27" s="112"/>
      <c r="V27" s="112"/>
      <c r="W27" s="112"/>
      <c r="X27" s="112"/>
      <c r="Y27" s="112"/>
    </row>
    <row r="29" spans="1:25" x14ac:dyDescent="0.25">
      <c r="A29" t="s">
        <v>381</v>
      </c>
      <c r="B29" t="s">
        <v>383</v>
      </c>
      <c r="C29" t="s">
        <v>34</v>
      </c>
      <c r="D29" t="s">
        <v>35</v>
      </c>
      <c r="E29" t="s">
        <v>36</v>
      </c>
      <c r="F29" t="s">
        <v>37</v>
      </c>
      <c r="G29" t="s">
        <v>38</v>
      </c>
      <c r="H29" t="s">
        <v>87</v>
      </c>
      <c r="I29" t="s">
        <v>88</v>
      </c>
      <c r="J29" t="s">
        <v>89</v>
      </c>
      <c r="K29" t="s">
        <v>15</v>
      </c>
      <c r="L29" t="s">
        <v>16</v>
      </c>
      <c r="M29" t="s">
        <v>17</v>
      </c>
      <c r="N29" t="s">
        <v>385</v>
      </c>
    </row>
    <row r="30" spans="1:25" x14ac:dyDescent="0.25">
      <c r="A30" t="s">
        <v>382</v>
      </c>
      <c r="B30">
        <v>24</v>
      </c>
      <c r="C30">
        <v>15</v>
      </c>
      <c r="H30">
        <v>40</v>
      </c>
      <c r="I30">
        <v>30</v>
      </c>
      <c r="J30">
        <v>21</v>
      </c>
      <c r="K30">
        <v>33</v>
      </c>
      <c r="L30">
        <v>23</v>
      </c>
      <c r="M30">
        <v>35</v>
      </c>
      <c r="N30">
        <f t="shared" ref="N30" si="0">SUM(B30:M30)</f>
        <v>221</v>
      </c>
    </row>
    <row r="31" spans="1:25" x14ac:dyDescent="0.25">
      <c r="O31" s="32">
        <f>SUM(N32/N30)</f>
        <v>0.25791855203619912</v>
      </c>
    </row>
    <row r="32" spans="1:25" x14ac:dyDescent="0.25">
      <c r="A32" t="s">
        <v>384</v>
      </c>
      <c r="B32" s="7">
        <v>5</v>
      </c>
      <c r="C32">
        <v>1</v>
      </c>
      <c r="H32">
        <v>13</v>
      </c>
      <c r="I32">
        <v>7</v>
      </c>
      <c r="J32">
        <v>4</v>
      </c>
      <c r="K32">
        <v>10</v>
      </c>
      <c r="L32">
        <v>5</v>
      </c>
      <c r="M32">
        <v>12</v>
      </c>
      <c r="N32">
        <f>SUM(B32:M32)</f>
        <v>57</v>
      </c>
      <c r="T32">
        <v>5</v>
      </c>
    </row>
    <row r="34" spans="1:16" x14ac:dyDescent="0.25">
      <c r="P34" t="s">
        <v>499</v>
      </c>
    </row>
    <row r="35" spans="1:16" x14ac:dyDescent="0.25">
      <c r="A35" s="11" t="s">
        <v>405</v>
      </c>
      <c r="B35" t="s">
        <v>383</v>
      </c>
      <c r="C35" t="s">
        <v>34</v>
      </c>
      <c r="D35" t="s">
        <v>35</v>
      </c>
      <c r="E35" t="s">
        <v>36</v>
      </c>
      <c r="F35" t="s">
        <v>37</v>
      </c>
      <c r="G35" t="s">
        <v>38</v>
      </c>
      <c r="H35" t="s">
        <v>87</v>
      </c>
      <c r="I35" t="s">
        <v>88</v>
      </c>
      <c r="J35" t="s">
        <v>89</v>
      </c>
      <c r="K35" t="s">
        <v>15</v>
      </c>
      <c r="L35" t="s">
        <v>16</v>
      </c>
      <c r="M35" t="s">
        <v>17</v>
      </c>
      <c r="N35" t="s">
        <v>385</v>
      </c>
    </row>
    <row r="36" spans="1:16" x14ac:dyDescent="0.25">
      <c r="A36" s="11" t="s">
        <v>451</v>
      </c>
      <c r="N36">
        <f>SUM(B36:M36)</f>
        <v>0</v>
      </c>
    </row>
    <row r="37" spans="1:16" x14ac:dyDescent="0.25">
      <c r="O37" s="32" t="e">
        <f>SUM(N38/N36)</f>
        <v>#DIV/0!</v>
      </c>
    </row>
    <row r="38" spans="1:16" x14ac:dyDescent="0.25">
      <c r="A38" s="11" t="s">
        <v>406</v>
      </c>
      <c r="N38">
        <f>SUM(B38:M38)</f>
        <v>0</v>
      </c>
    </row>
    <row r="40" spans="1:16" x14ac:dyDescent="0.25">
      <c r="A40" t="s">
        <v>391</v>
      </c>
      <c r="B40" t="s">
        <v>392</v>
      </c>
    </row>
    <row r="41" spans="1:16" x14ac:dyDescent="0.25">
      <c r="B41" t="s">
        <v>393</v>
      </c>
    </row>
    <row r="43" spans="1:16" x14ac:dyDescent="0.25">
      <c r="B43" t="s">
        <v>383</v>
      </c>
      <c r="C43" t="s">
        <v>34</v>
      </c>
      <c r="D43" t="s">
        <v>35</v>
      </c>
      <c r="E43" t="s">
        <v>36</v>
      </c>
      <c r="F43" t="s">
        <v>37</v>
      </c>
      <c r="G43" t="s">
        <v>38</v>
      </c>
      <c r="H43" t="s">
        <v>87</v>
      </c>
      <c r="I43" t="s">
        <v>88</v>
      </c>
      <c r="J43" t="s">
        <v>89</v>
      </c>
      <c r="K43" t="s">
        <v>15</v>
      </c>
      <c r="L43" t="s">
        <v>16</v>
      </c>
      <c r="M43" t="s">
        <v>17</v>
      </c>
      <c r="N43" t="s">
        <v>385</v>
      </c>
    </row>
    <row r="44" spans="1:16" x14ac:dyDescent="0.25">
      <c r="A44" s="41" t="s">
        <v>444</v>
      </c>
    </row>
    <row r="45" spans="1:16" x14ac:dyDescent="0.25">
      <c r="A45" t="s">
        <v>445</v>
      </c>
      <c r="B45" s="10">
        <v>3</v>
      </c>
      <c r="C45" s="10">
        <v>0</v>
      </c>
      <c r="D45" s="10"/>
      <c r="E45" s="10"/>
      <c r="F45" s="10"/>
      <c r="G45" s="10"/>
      <c r="H45" s="10">
        <v>3</v>
      </c>
      <c r="I45" s="10">
        <v>5</v>
      </c>
      <c r="J45" s="10">
        <v>3</v>
      </c>
      <c r="K45" s="10">
        <v>3</v>
      </c>
      <c r="L45" s="10">
        <v>2</v>
      </c>
      <c r="M45" s="10">
        <v>4</v>
      </c>
      <c r="N45" s="10">
        <f>SUM(B45:M45)</f>
        <v>23</v>
      </c>
      <c r="O45" s="42">
        <f>SUM(N46*12)/440</f>
        <v>7.8409090909090914E-2</v>
      </c>
      <c r="P45" t="s">
        <v>446</v>
      </c>
    </row>
    <row r="46" spans="1:16" x14ac:dyDescent="0.25">
      <c r="B46" s="10"/>
      <c r="C46" s="10"/>
      <c r="D46" s="10"/>
      <c r="E46" s="10"/>
      <c r="F46" s="10"/>
      <c r="G46" s="10"/>
      <c r="H46" s="10"/>
      <c r="I46" s="10"/>
      <c r="J46" s="10"/>
      <c r="K46" s="10"/>
      <c r="L46" s="10"/>
      <c r="M46" t="s">
        <v>447</v>
      </c>
      <c r="N46" s="10">
        <f>AVERAGE(B45:M45)</f>
        <v>2.875</v>
      </c>
      <c r="O46" s="42"/>
    </row>
    <row r="47" spans="1:16" x14ac:dyDescent="0.25">
      <c r="A47" s="11" t="s">
        <v>524</v>
      </c>
      <c r="B47" s="10"/>
      <c r="C47" s="10"/>
      <c r="D47" s="10"/>
      <c r="E47" s="10"/>
      <c r="F47" s="10"/>
      <c r="G47" s="10"/>
      <c r="H47" s="10"/>
      <c r="I47" s="10"/>
      <c r="J47" s="10"/>
      <c r="K47" s="10"/>
      <c r="L47" s="10"/>
      <c r="N47" s="10"/>
      <c r="O47" s="42"/>
    </row>
    <row r="48" spans="1:16" x14ac:dyDescent="0.25">
      <c r="B48" s="10"/>
      <c r="C48" s="10"/>
      <c r="D48" s="10"/>
      <c r="E48" s="10"/>
      <c r="F48" s="10"/>
      <c r="G48" s="10"/>
      <c r="H48" s="10"/>
      <c r="I48" s="10"/>
      <c r="J48" s="10"/>
      <c r="K48" s="10"/>
      <c r="L48" s="10"/>
      <c r="N48" s="10"/>
      <c r="O48" s="42"/>
    </row>
    <row r="49" spans="1:16" x14ac:dyDescent="0.25">
      <c r="A49" t="s">
        <v>449</v>
      </c>
      <c r="B49" s="10">
        <v>4</v>
      </c>
      <c r="C49" s="10">
        <v>1</v>
      </c>
      <c r="D49" s="10"/>
      <c r="E49" s="10"/>
      <c r="F49" s="10"/>
      <c r="G49" s="10"/>
      <c r="H49" s="10">
        <v>3</v>
      </c>
      <c r="I49" s="10">
        <v>5</v>
      </c>
      <c r="J49" s="10">
        <v>4</v>
      </c>
      <c r="K49" s="10">
        <v>4</v>
      </c>
      <c r="L49" s="10">
        <v>10</v>
      </c>
      <c r="M49" s="10">
        <v>8</v>
      </c>
      <c r="N49" s="10">
        <f>SUM(B49:M49)</f>
        <v>39</v>
      </c>
      <c r="O49" s="42"/>
    </row>
    <row r="50" spans="1:16" x14ac:dyDescent="0.25">
      <c r="M50" t="s">
        <v>447</v>
      </c>
      <c r="N50" s="10">
        <f>AVERAGE(B49:M49)</f>
        <v>4.875</v>
      </c>
      <c r="O50" s="42">
        <f>SUM(N50*12)/440</f>
        <v>0.13295454545454546</v>
      </c>
      <c r="P50" t="s">
        <v>450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5" t="s">
        <v>470</v>
      </c>
      <c r="B1" s="25"/>
      <c r="C1" s="25"/>
      <c r="D1" s="25"/>
      <c r="E1" s="25"/>
      <c r="F1" s="25"/>
      <c r="G1" s="25"/>
      <c r="H1" s="25"/>
      <c r="I1" s="25" t="s">
        <v>469</v>
      </c>
      <c r="J1" s="25"/>
      <c r="K1" s="25"/>
      <c r="L1" s="25"/>
      <c r="M1" s="25"/>
      <c r="N1" s="25"/>
      <c r="O1" s="25"/>
    </row>
    <row r="2" spans="1:28" x14ac:dyDescent="0.25">
      <c r="A2" s="43" t="s">
        <v>456</v>
      </c>
      <c r="B2" s="43">
        <v>1</v>
      </c>
      <c r="C2" s="43">
        <v>2</v>
      </c>
      <c r="D2" s="43">
        <v>3</v>
      </c>
      <c r="E2" s="43">
        <v>4</v>
      </c>
      <c r="F2" s="43">
        <v>5</v>
      </c>
      <c r="G2" s="43">
        <v>6</v>
      </c>
      <c r="H2" s="43">
        <v>7</v>
      </c>
      <c r="I2" s="43">
        <v>8</v>
      </c>
      <c r="J2" s="43">
        <v>9</v>
      </c>
      <c r="K2" s="43">
        <v>10</v>
      </c>
      <c r="L2" s="43">
        <v>11</v>
      </c>
      <c r="M2" s="43">
        <v>12</v>
      </c>
      <c r="N2" s="43">
        <v>13</v>
      </c>
      <c r="O2" s="25"/>
    </row>
    <row r="3" spans="1:28" x14ac:dyDescent="0.25">
      <c r="A3" s="25" t="s">
        <v>454</v>
      </c>
      <c r="B3" s="25">
        <v>49379</v>
      </c>
      <c r="C3" s="25">
        <v>66</v>
      </c>
      <c r="D3" s="25">
        <v>175</v>
      </c>
      <c r="E3" s="25">
        <v>43935</v>
      </c>
      <c r="F3" s="25">
        <v>70</v>
      </c>
      <c r="G3" s="25"/>
      <c r="H3" s="25"/>
      <c r="I3" s="25"/>
      <c r="J3" s="25"/>
      <c r="K3" s="25"/>
      <c r="L3" s="25"/>
      <c r="M3" s="25"/>
      <c r="N3" s="25"/>
      <c r="O3" s="25"/>
    </row>
    <row r="4" spans="1:28" x14ac:dyDescent="0.25">
      <c r="A4" s="25" t="s">
        <v>4</v>
      </c>
      <c r="B4" s="25">
        <v>10605</v>
      </c>
      <c r="C4" s="25">
        <v>20319</v>
      </c>
      <c r="D4" s="25">
        <v>36514</v>
      </c>
      <c r="E4" s="25">
        <v>13.7</v>
      </c>
      <c r="F4" s="25">
        <v>3.9</v>
      </c>
      <c r="G4" s="25"/>
      <c r="H4" s="25"/>
      <c r="I4" s="25"/>
      <c r="J4" s="25"/>
      <c r="K4" s="25"/>
      <c r="L4" s="25"/>
      <c r="M4" s="25"/>
      <c r="N4" s="25"/>
      <c r="O4" s="25"/>
    </row>
    <row r="5" spans="1:28" x14ac:dyDescent="0.25">
      <c r="A5" s="25" t="s">
        <v>235</v>
      </c>
      <c r="B5" s="25">
        <v>4508</v>
      </c>
      <c r="C5" s="25"/>
      <c r="D5" s="25">
        <v>2583</v>
      </c>
      <c r="E5" s="25">
        <v>195</v>
      </c>
      <c r="F5" s="25">
        <v>15</v>
      </c>
      <c r="G5" s="25">
        <v>145</v>
      </c>
      <c r="H5" s="25"/>
      <c r="I5" s="25"/>
      <c r="J5" s="25"/>
      <c r="K5" s="25"/>
      <c r="L5" s="25"/>
      <c r="M5" s="25"/>
      <c r="N5" s="25"/>
      <c r="O5" s="25"/>
    </row>
    <row r="6" spans="1:28" x14ac:dyDescent="0.25">
      <c r="A6" s="25" t="s">
        <v>457</v>
      </c>
      <c r="B6" s="25">
        <v>38674</v>
      </c>
      <c r="C6" s="25">
        <v>31798</v>
      </c>
      <c r="D6" s="25">
        <v>1270</v>
      </c>
      <c r="E6" s="25">
        <v>1538</v>
      </c>
      <c r="F6" s="25">
        <v>17.5</v>
      </c>
      <c r="G6" s="25">
        <v>48.4</v>
      </c>
      <c r="H6" s="25">
        <v>5</v>
      </c>
      <c r="I6" s="25">
        <v>182</v>
      </c>
      <c r="J6" s="25"/>
      <c r="K6" s="25"/>
      <c r="L6" s="25"/>
      <c r="M6" s="25"/>
      <c r="N6" s="25"/>
      <c r="O6" s="25"/>
    </row>
    <row r="7" spans="1:28" x14ac:dyDescent="0.25">
      <c r="A7" s="25" t="s">
        <v>428</v>
      </c>
      <c r="B7" s="25">
        <v>11412</v>
      </c>
      <c r="C7" s="25">
        <v>3.07</v>
      </c>
      <c r="D7" s="25">
        <v>1731</v>
      </c>
      <c r="E7" s="25">
        <v>0.46</v>
      </c>
      <c r="F7" s="25">
        <v>133</v>
      </c>
      <c r="G7" s="25"/>
      <c r="H7" s="25"/>
      <c r="I7" s="25"/>
      <c r="J7" s="25"/>
      <c r="K7" s="25"/>
      <c r="L7" s="25"/>
      <c r="M7" s="25"/>
      <c r="N7" s="25"/>
      <c r="O7" s="25"/>
    </row>
    <row r="8" spans="1:28" x14ac:dyDescent="0.25">
      <c r="A8" s="25" t="s">
        <v>458</v>
      </c>
      <c r="B8" s="25">
        <v>2495</v>
      </c>
      <c r="C8" s="25">
        <v>1970</v>
      </c>
      <c r="D8" s="25">
        <v>396</v>
      </c>
      <c r="E8" s="25">
        <v>0</v>
      </c>
      <c r="F8" s="25">
        <v>133</v>
      </c>
      <c r="G8" s="25">
        <v>315</v>
      </c>
      <c r="H8" s="25">
        <v>2270</v>
      </c>
      <c r="I8" s="25">
        <v>610</v>
      </c>
      <c r="J8" s="25">
        <v>324</v>
      </c>
      <c r="K8" s="25">
        <v>175</v>
      </c>
      <c r="L8" s="25">
        <v>21713</v>
      </c>
      <c r="M8" s="25"/>
      <c r="N8" s="25"/>
      <c r="O8" s="25"/>
    </row>
    <row r="9" spans="1:28" x14ac:dyDescent="0.25">
      <c r="A9" s="25" t="s">
        <v>459</v>
      </c>
      <c r="B9" s="25">
        <v>610</v>
      </c>
      <c r="C9" s="25">
        <v>104</v>
      </c>
      <c r="D9" s="25">
        <v>80</v>
      </c>
      <c r="E9" s="25">
        <v>27</v>
      </c>
      <c r="F9" s="25">
        <v>23</v>
      </c>
      <c r="G9" s="25">
        <v>7</v>
      </c>
      <c r="H9" s="25">
        <v>134</v>
      </c>
      <c r="I9" s="25"/>
      <c r="J9" s="25"/>
      <c r="K9" s="25"/>
      <c r="L9" s="25"/>
      <c r="M9" s="25"/>
      <c r="N9" s="25"/>
      <c r="O9" s="25"/>
    </row>
    <row r="10" spans="1:28" x14ac:dyDescent="0.25">
      <c r="A10" s="25" t="s">
        <v>25</v>
      </c>
      <c r="B10" s="25">
        <v>7864</v>
      </c>
      <c r="C10" s="25">
        <v>56.2</v>
      </c>
      <c r="D10" s="25">
        <v>1.87</v>
      </c>
      <c r="E10" s="25">
        <v>7.9</v>
      </c>
      <c r="F10" s="25">
        <v>2883</v>
      </c>
      <c r="G10" s="25">
        <v>22.6</v>
      </c>
      <c r="H10" s="25"/>
      <c r="I10" s="25">
        <v>24.1</v>
      </c>
      <c r="J10" s="25">
        <v>22.2</v>
      </c>
      <c r="K10" s="25">
        <v>25.4</v>
      </c>
      <c r="L10" s="25">
        <v>21.2</v>
      </c>
      <c r="M10" s="25">
        <v>20</v>
      </c>
      <c r="N10" s="25"/>
      <c r="O10" s="25"/>
    </row>
    <row r="11" spans="1:28" x14ac:dyDescent="0.25">
      <c r="A11" s="25" t="s">
        <v>460</v>
      </c>
      <c r="B11" s="25">
        <v>155</v>
      </c>
      <c r="C11" s="25">
        <v>802</v>
      </c>
      <c r="D11" s="25">
        <v>242</v>
      </c>
      <c r="E11" s="25">
        <v>297</v>
      </c>
      <c r="F11" s="25">
        <v>83.3</v>
      </c>
      <c r="G11" s="25">
        <v>95.7</v>
      </c>
      <c r="H11" s="25">
        <v>835</v>
      </c>
      <c r="I11" s="25">
        <v>99.3</v>
      </c>
      <c r="J11" s="25">
        <v>194</v>
      </c>
      <c r="K11" s="25">
        <v>322</v>
      </c>
      <c r="L11" s="25"/>
      <c r="M11" s="25"/>
      <c r="N11" s="25"/>
      <c r="O11" s="25"/>
    </row>
    <row r="12" spans="1:28" x14ac:dyDescent="0.25">
      <c r="A12" s="25" t="s">
        <v>227</v>
      </c>
      <c r="B12" s="25">
        <v>2085</v>
      </c>
      <c r="C12" s="25">
        <v>8.4</v>
      </c>
      <c r="D12" s="25">
        <v>2781</v>
      </c>
      <c r="E12" s="25">
        <v>431</v>
      </c>
      <c r="F12" s="25"/>
      <c r="G12" s="25"/>
      <c r="H12" s="25"/>
      <c r="I12" s="25"/>
      <c r="J12" s="25"/>
      <c r="K12" s="25"/>
      <c r="L12" s="25"/>
      <c r="M12" s="25"/>
      <c r="N12" s="25"/>
      <c r="O12" s="25"/>
    </row>
    <row r="13" spans="1:28" x14ac:dyDescent="0.25">
      <c r="A13" s="25" t="s">
        <v>461</v>
      </c>
      <c r="B13" s="25">
        <v>1651</v>
      </c>
      <c r="C13" s="25">
        <v>4978</v>
      </c>
      <c r="D13" s="25">
        <v>21.6</v>
      </c>
      <c r="E13" s="25">
        <v>4</v>
      </c>
      <c r="F13" s="25">
        <v>413</v>
      </c>
      <c r="G13" s="25">
        <v>3</v>
      </c>
      <c r="H13" s="25">
        <v>326</v>
      </c>
      <c r="I13" s="25">
        <v>1234</v>
      </c>
      <c r="J13" s="25">
        <v>7737</v>
      </c>
      <c r="K13" s="25">
        <v>22.5</v>
      </c>
      <c r="L13" s="25">
        <v>85</v>
      </c>
      <c r="M13" s="25">
        <v>238</v>
      </c>
      <c r="N13" s="25">
        <v>5348</v>
      </c>
      <c r="O13" s="25"/>
    </row>
    <row r="14" spans="1:28" x14ac:dyDescent="0.25">
      <c r="A14" s="25" t="s">
        <v>434</v>
      </c>
      <c r="B14" s="25">
        <v>38</v>
      </c>
      <c r="C14" s="25">
        <v>8.5</v>
      </c>
      <c r="D14" s="25">
        <v>20</v>
      </c>
      <c r="E14" s="25">
        <v>3.6</v>
      </c>
      <c r="F14" s="25">
        <v>2900</v>
      </c>
      <c r="G14" s="25">
        <v>24300</v>
      </c>
      <c r="H14" s="25"/>
      <c r="I14" s="25"/>
      <c r="J14" s="25"/>
      <c r="K14" s="25"/>
      <c r="L14" s="25"/>
      <c r="M14" s="25"/>
      <c r="N14" s="25"/>
      <c r="O14" s="25"/>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5" t="s">
        <v>228</v>
      </c>
      <c r="B15" s="25">
        <v>3019</v>
      </c>
      <c r="C15" s="25">
        <v>208</v>
      </c>
      <c r="D15" s="25">
        <v>2570</v>
      </c>
      <c r="E15" s="25">
        <v>1663</v>
      </c>
      <c r="F15" s="25">
        <v>1556</v>
      </c>
      <c r="G15" s="25">
        <v>1.71</v>
      </c>
      <c r="H15" s="25">
        <v>36.299999999999997</v>
      </c>
      <c r="I15" s="25">
        <v>35.200000000000003</v>
      </c>
      <c r="J15" s="25">
        <v>2951</v>
      </c>
      <c r="K15" s="25">
        <v>96.6</v>
      </c>
      <c r="L15" s="25"/>
      <c r="M15" s="25"/>
      <c r="N15" s="25"/>
      <c r="O15" s="25"/>
    </row>
    <row r="16" spans="1:28" x14ac:dyDescent="0.25">
      <c r="A16" s="25" t="s">
        <v>230</v>
      </c>
      <c r="B16" s="25">
        <v>100</v>
      </c>
      <c r="C16" s="25">
        <v>99.9</v>
      </c>
      <c r="D16" s="25">
        <v>100</v>
      </c>
      <c r="E16" s="25">
        <v>58</v>
      </c>
      <c r="F16" s="25">
        <v>67</v>
      </c>
      <c r="G16" s="25">
        <v>139</v>
      </c>
      <c r="H16" s="25"/>
      <c r="I16" s="25"/>
      <c r="J16" s="25"/>
      <c r="K16" s="25"/>
      <c r="L16" s="25"/>
      <c r="M16" s="25"/>
      <c r="N16" s="25"/>
      <c r="O16" s="25"/>
    </row>
    <row r="17" spans="1:15" x14ac:dyDescent="0.25">
      <c r="A17" s="25" t="s">
        <v>7</v>
      </c>
      <c r="B17" s="25">
        <v>86.1</v>
      </c>
      <c r="C17" s="25">
        <v>13.3</v>
      </c>
      <c r="D17" s="25">
        <v>2399</v>
      </c>
      <c r="E17" s="25">
        <v>6.6</v>
      </c>
      <c r="F17" s="25">
        <v>2419</v>
      </c>
      <c r="G17" s="25">
        <v>78</v>
      </c>
      <c r="H17" s="25"/>
      <c r="I17" s="25"/>
      <c r="J17" s="25"/>
      <c r="K17" s="25"/>
      <c r="L17" s="25"/>
      <c r="M17" s="25"/>
      <c r="N17" s="25"/>
      <c r="O17" s="25"/>
    </row>
    <row r="18" spans="1:15" x14ac:dyDescent="0.25">
      <c r="A18" s="25" t="s">
        <v>8</v>
      </c>
      <c r="B18" s="25">
        <v>225675</v>
      </c>
      <c r="C18" s="25">
        <v>132675</v>
      </c>
      <c r="D18" s="25">
        <v>8306</v>
      </c>
      <c r="E18" s="25">
        <v>29041</v>
      </c>
      <c r="F18" s="25">
        <v>148156</v>
      </c>
      <c r="G18" s="25">
        <v>35751</v>
      </c>
      <c r="H18" s="25">
        <v>2.4</v>
      </c>
      <c r="I18" s="25">
        <v>3.02</v>
      </c>
      <c r="J18" s="25">
        <v>6.19</v>
      </c>
      <c r="K18" s="25"/>
      <c r="L18" s="25"/>
      <c r="M18" s="25"/>
      <c r="N18" s="25"/>
      <c r="O18" s="25"/>
    </row>
    <row r="19" spans="1:15" x14ac:dyDescent="0.25">
      <c r="A19" s="25" t="s">
        <v>462</v>
      </c>
      <c r="B19" s="25">
        <v>15</v>
      </c>
      <c r="C19" s="25">
        <v>11</v>
      </c>
      <c r="D19" s="25">
        <v>11</v>
      </c>
      <c r="E19" s="25">
        <v>1</v>
      </c>
      <c r="F19" s="25">
        <v>7.1</v>
      </c>
      <c r="G19" s="25">
        <v>0</v>
      </c>
      <c r="H19" s="25">
        <v>745</v>
      </c>
      <c r="I19" s="25"/>
      <c r="J19" s="25"/>
      <c r="K19" s="25"/>
      <c r="L19" s="25"/>
      <c r="M19" s="25"/>
      <c r="N19" s="25"/>
      <c r="O19" s="25"/>
    </row>
    <row r="20" spans="1:15" x14ac:dyDescent="0.25">
      <c r="A20" s="25" t="s">
        <v>463</v>
      </c>
      <c r="B20" s="25">
        <v>138</v>
      </c>
      <c r="C20" s="25">
        <v>0</v>
      </c>
      <c r="D20" s="25">
        <v>148</v>
      </c>
      <c r="E20" s="25">
        <v>27</v>
      </c>
      <c r="F20" s="25">
        <v>4749</v>
      </c>
      <c r="G20" s="25">
        <v>424</v>
      </c>
      <c r="H20" s="25">
        <v>2821</v>
      </c>
      <c r="I20" s="25">
        <v>96.3</v>
      </c>
      <c r="J20" s="25">
        <v>547</v>
      </c>
      <c r="K20" s="25">
        <v>98.5</v>
      </c>
      <c r="L20" s="25">
        <v>123</v>
      </c>
      <c r="M20" s="25"/>
      <c r="N20" s="25"/>
      <c r="O20" s="25"/>
    </row>
    <row r="21" spans="1:15" x14ac:dyDescent="0.25">
      <c r="A21" s="25" t="s">
        <v>9</v>
      </c>
      <c r="B21" s="25">
        <v>2018</v>
      </c>
      <c r="C21" s="25">
        <v>1382</v>
      </c>
      <c r="D21" s="25">
        <v>4952</v>
      </c>
      <c r="E21" s="25">
        <v>1204</v>
      </c>
      <c r="F21" s="25">
        <v>8.1999999999999993</v>
      </c>
      <c r="G21" s="25">
        <v>233282</v>
      </c>
      <c r="H21" s="25">
        <v>170012</v>
      </c>
      <c r="I21" s="25"/>
      <c r="J21" s="25"/>
      <c r="K21" s="25"/>
      <c r="L21" s="25"/>
      <c r="M21" s="25"/>
      <c r="N21" s="25"/>
      <c r="O21" s="25"/>
    </row>
    <row r="22" spans="1:15" x14ac:dyDescent="0.25">
      <c r="A22" s="25" t="s">
        <v>61</v>
      </c>
      <c r="B22" s="25">
        <v>88</v>
      </c>
      <c r="C22" s="25">
        <v>89</v>
      </c>
      <c r="D22" s="25">
        <v>40</v>
      </c>
      <c r="E22" s="25">
        <v>1225</v>
      </c>
      <c r="F22" s="25"/>
      <c r="G22" s="25"/>
      <c r="H22" s="25"/>
      <c r="I22" s="25"/>
      <c r="J22" s="25"/>
      <c r="K22" s="25"/>
      <c r="L22" s="25"/>
      <c r="M22" s="25"/>
      <c r="N22" s="25"/>
      <c r="O22" s="25"/>
    </row>
    <row r="23" spans="1:15" x14ac:dyDescent="0.25">
      <c r="A23" s="25" t="s">
        <v>233</v>
      </c>
      <c r="B23" s="25">
        <v>332373</v>
      </c>
      <c r="C23" s="25">
        <v>63507</v>
      </c>
      <c r="D23" s="25">
        <v>18767</v>
      </c>
      <c r="E23" s="25">
        <v>3.4</v>
      </c>
      <c r="F23" s="25">
        <v>0.2</v>
      </c>
      <c r="G23" s="25">
        <v>9.32</v>
      </c>
      <c r="H23" s="25">
        <v>1.95</v>
      </c>
      <c r="I23" s="25"/>
      <c r="J23" s="25"/>
      <c r="K23" s="25"/>
      <c r="L23" s="25"/>
      <c r="M23" s="25"/>
      <c r="N23" s="25"/>
      <c r="O23" s="25"/>
    </row>
    <row r="24" spans="1:15" x14ac:dyDescent="0.25">
      <c r="A24" s="25" t="s">
        <v>10</v>
      </c>
      <c r="B24" s="25">
        <v>12389</v>
      </c>
      <c r="C24" s="25">
        <v>80</v>
      </c>
      <c r="D24" s="25">
        <v>617</v>
      </c>
      <c r="E24" s="25">
        <v>20</v>
      </c>
      <c r="F24" s="25">
        <v>28.2</v>
      </c>
      <c r="G24" s="25">
        <v>6581</v>
      </c>
      <c r="H24" s="25">
        <v>1741</v>
      </c>
      <c r="I24" s="25">
        <v>459</v>
      </c>
      <c r="J24" s="25">
        <v>20.3</v>
      </c>
      <c r="K24" s="25">
        <v>33.9</v>
      </c>
      <c r="L24" s="25"/>
      <c r="M24" s="25"/>
      <c r="N24" s="25"/>
      <c r="O24" s="25"/>
    </row>
    <row r="25" spans="1:15" x14ac:dyDescent="0.25">
      <c r="A25" s="25" t="s">
        <v>229</v>
      </c>
      <c r="B25" s="25">
        <v>4589</v>
      </c>
      <c r="C25" s="25">
        <v>1259</v>
      </c>
      <c r="D25" s="25">
        <v>1098</v>
      </c>
      <c r="E25" s="25">
        <v>725</v>
      </c>
      <c r="F25" s="25">
        <v>3.85</v>
      </c>
      <c r="G25" s="25">
        <v>22581</v>
      </c>
      <c r="H25" s="25">
        <v>91.3</v>
      </c>
      <c r="I25" s="25"/>
      <c r="J25" s="25"/>
      <c r="K25" s="25"/>
      <c r="L25" s="25"/>
      <c r="M25" s="25"/>
      <c r="N25" s="25"/>
      <c r="O25" s="25"/>
    </row>
    <row r="26" spans="1:15" x14ac:dyDescent="0.25">
      <c r="A26" s="25" t="s">
        <v>11</v>
      </c>
      <c r="B26" s="25">
        <v>826</v>
      </c>
      <c r="C26" s="25">
        <v>62.6</v>
      </c>
      <c r="D26" s="25">
        <v>1</v>
      </c>
      <c r="E26" s="25">
        <v>40.6</v>
      </c>
      <c r="F26" s="25">
        <v>51488</v>
      </c>
      <c r="G26" s="25">
        <v>130</v>
      </c>
      <c r="H26" s="25">
        <v>76.3</v>
      </c>
      <c r="I26" s="25">
        <v>100</v>
      </c>
      <c r="J26" s="25">
        <v>98.8</v>
      </c>
      <c r="K26" s="25">
        <v>97.8</v>
      </c>
      <c r="L26" s="25">
        <v>273.2</v>
      </c>
      <c r="M26" s="25"/>
      <c r="N26" s="25"/>
      <c r="O26" s="25"/>
    </row>
    <row r="27" spans="1:15" x14ac:dyDescent="0.25">
      <c r="A27" s="25" t="s">
        <v>12</v>
      </c>
      <c r="B27" s="25">
        <v>1</v>
      </c>
      <c r="C27" s="25">
        <v>0</v>
      </c>
      <c r="D27" s="25">
        <v>23</v>
      </c>
      <c r="E27" s="25">
        <v>88.29</v>
      </c>
      <c r="F27" s="25">
        <v>1.57</v>
      </c>
      <c r="G27" s="25">
        <v>0.28000000000000003</v>
      </c>
      <c r="H27" s="25"/>
      <c r="I27" s="25"/>
      <c r="J27" s="25"/>
      <c r="K27" s="25"/>
      <c r="L27" s="25"/>
      <c r="M27" s="25"/>
      <c r="N27" s="25"/>
      <c r="O27" s="25"/>
    </row>
    <row r="28" spans="1:15" x14ac:dyDescent="0.25">
      <c r="A28" s="25" t="s">
        <v>13</v>
      </c>
      <c r="B28" s="25">
        <v>2058</v>
      </c>
      <c r="C28" s="25">
        <v>640</v>
      </c>
      <c r="D28" s="25">
        <v>96.57</v>
      </c>
      <c r="E28" s="25">
        <v>88.61</v>
      </c>
      <c r="F28" s="25">
        <v>95.86</v>
      </c>
      <c r="G28" s="25">
        <v>0</v>
      </c>
      <c r="H28" s="25">
        <v>30514</v>
      </c>
      <c r="I28" s="25">
        <v>14632</v>
      </c>
      <c r="J28" s="25">
        <v>197</v>
      </c>
      <c r="K28" s="25"/>
      <c r="L28" s="25"/>
      <c r="M28" s="25"/>
      <c r="N28" s="25"/>
      <c r="O28" s="25"/>
    </row>
    <row r="29" spans="1:15" x14ac:dyDescent="0.25">
      <c r="A29" s="25" t="s">
        <v>464</v>
      </c>
      <c r="B29" s="25">
        <v>1157</v>
      </c>
      <c r="C29" s="25">
        <v>1704</v>
      </c>
      <c r="D29" s="25">
        <v>2861</v>
      </c>
      <c r="E29" s="25">
        <v>11.5</v>
      </c>
      <c r="F29" s="25"/>
      <c r="G29" s="25"/>
      <c r="H29" s="25"/>
      <c r="I29" s="25">
        <v>2</v>
      </c>
      <c r="J29" s="25"/>
      <c r="K29" s="25"/>
      <c r="L29" s="25"/>
      <c r="M29" s="25"/>
      <c r="N29" s="25"/>
      <c r="O29" s="25"/>
    </row>
    <row r="30" spans="1:15" x14ac:dyDescent="0.25">
      <c r="A30" s="25" t="s">
        <v>14</v>
      </c>
      <c r="B30" s="25">
        <v>8769</v>
      </c>
      <c r="C30" s="25">
        <v>2238</v>
      </c>
      <c r="D30" s="25">
        <v>11</v>
      </c>
      <c r="E30" s="25">
        <v>6209</v>
      </c>
      <c r="F30" s="25"/>
      <c r="G30" s="25"/>
      <c r="H30" s="25"/>
      <c r="I30" s="25"/>
      <c r="J30" s="25"/>
      <c r="K30" s="25"/>
      <c r="L30" s="25"/>
      <c r="M30" s="25"/>
      <c r="N30" s="25"/>
      <c r="O30" s="25"/>
    </row>
    <row r="31" spans="1:15" x14ac:dyDescent="0.25">
      <c r="A31" s="25" t="s">
        <v>232</v>
      </c>
      <c r="B31" s="25">
        <v>49718</v>
      </c>
      <c r="C31" s="25">
        <v>7619</v>
      </c>
      <c r="D31" s="25">
        <v>2719</v>
      </c>
      <c r="E31" s="25">
        <v>8.9</v>
      </c>
      <c r="F31" s="25">
        <v>15.7</v>
      </c>
      <c r="G31" s="25">
        <v>17.8</v>
      </c>
      <c r="H31" s="25"/>
      <c r="I31" s="25"/>
      <c r="J31" s="25"/>
      <c r="K31" s="25"/>
      <c r="L31" s="25"/>
      <c r="M31" s="25"/>
      <c r="N31" s="25"/>
      <c r="O31" s="25"/>
    </row>
    <row r="32" spans="1:15" x14ac:dyDescent="0.25">
      <c r="A32" s="40">
        <v>911</v>
      </c>
      <c r="B32" s="25">
        <v>120253</v>
      </c>
      <c r="C32" s="25">
        <v>2.3199999999999998</v>
      </c>
      <c r="D32" s="25">
        <v>1</v>
      </c>
      <c r="E32" s="25">
        <v>3.18</v>
      </c>
      <c r="F32" s="25">
        <v>4.38</v>
      </c>
      <c r="G32" s="25"/>
      <c r="H32" s="25"/>
      <c r="I32" s="25"/>
      <c r="J32" s="25"/>
      <c r="K32" s="25"/>
      <c r="L32" s="25"/>
      <c r="M32" s="25"/>
      <c r="N32" s="25"/>
      <c r="O32" s="25"/>
    </row>
    <row r="33" spans="1:15" x14ac:dyDescent="0.25">
      <c r="A33" s="25"/>
      <c r="B33" s="25"/>
      <c r="C33" s="25"/>
      <c r="D33" s="25"/>
      <c r="E33" s="25"/>
      <c r="F33" s="25"/>
      <c r="G33" s="25"/>
      <c r="H33" s="25"/>
      <c r="I33" s="25"/>
      <c r="J33" s="25"/>
      <c r="K33" s="25"/>
      <c r="L33" s="25"/>
      <c r="M33" s="25"/>
      <c r="N33" s="25"/>
      <c r="O33" s="25"/>
    </row>
    <row r="34" spans="1:15" x14ac:dyDescent="0.25">
      <c r="A34" s="25" t="s">
        <v>471</v>
      </c>
      <c r="B34" s="25"/>
      <c r="C34" s="25"/>
      <c r="D34" s="25"/>
      <c r="E34" s="25"/>
      <c r="F34" s="25"/>
      <c r="G34" s="25"/>
      <c r="H34" s="25"/>
      <c r="I34" s="25" t="s">
        <v>455</v>
      </c>
      <c r="J34" s="25"/>
      <c r="K34" s="25"/>
      <c r="L34" s="25"/>
      <c r="M34" s="25"/>
      <c r="N34" s="25"/>
      <c r="O34" s="25"/>
    </row>
    <row r="35" spans="1:15" x14ac:dyDescent="0.25">
      <c r="A35" s="43" t="s">
        <v>456</v>
      </c>
      <c r="B35" s="43">
        <v>1</v>
      </c>
      <c r="C35" s="43">
        <v>2</v>
      </c>
      <c r="D35" s="43">
        <v>3</v>
      </c>
      <c r="E35" s="43">
        <v>4</v>
      </c>
      <c r="F35" s="43">
        <v>5</v>
      </c>
      <c r="G35" s="43">
        <v>6</v>
      </c>
      <c r="H35" s="43">
        <v>7</v>
      </c>
      <c r="I35" s="43">
        <v>8</v>
      </c>
      <c r="J35" s="43">
        <v>9</v>
      </c>
      <c r="K35" s="43">
        <v>10</v>
      </c>
      <c r="L35" s="43">
        <v>11</v>
      </c>
      <c r="M35" s="43">
        <v>12</v>
      </c>
      <c r="N35" s="43">
        <v>13</v>
      </c>
      <c r="O35" s="25"/>
    </row>
    <row r="36" spans="1:15" x14ac:dyDescent="0.25">
      <c r="A36" s="25" t="s">
        <v>454</v>
      </c>
      <c r="B36" s="25">
        <v>61636</v>
      </c>
      <c r="C36" s="25">
        <v>61</v>
      </c>
      <c r="D36" s="25">
        <v>156</v>
      </c>
      <c r="E36" s="25">
        <v>37834</v>
      </c>
      <c r="F36" s="25">
        <v>62</v>
      </c>
      <c r="G36" s="25"/>
      <c r="H36" s="25"/>
      <c r="I36" s="25"/>
      <c r="J36" s="25"/>
      <c r="K36" s="25"/>
      <c r="L36" s="25"/>
      <c r="M36" s="25"/>
      <c r="N36" s="25"/>
      <c r="O36" s="25"/>
    </row>
    <row r="37" spans="1:15" x14ac:dyDescent="0.25">
      <c r="A37" s="25" t="s">
        <v>4</v>
      </c>
      <c r="B37" s="25">
        <v>9969</v>
      </c>
      <c r="C37" s="25">
        <v>24066</v>
      </c>
      <c r="D37" s="25">
        <v>33281</v>
      </c>
      <c r="E37" s="25">
        <v>22</v>
      </c>
      <c r="F37" s="25">
        <v>2</v>
      </c>
      <c r="G37" s="25"/>
      <c r="H37" s="25"/>
      <c r="I37" s="25"/>
      <c r="J37" s="25"/>
      <c r="K37" s="25"/>
      <c r="L37" s="25"/>
      <c r="M37" s="25"/>
      <c r="N37" s="25"/>
      <c r="O37" s="25"/>
    </row>
    <row r="38" spans="1:15" x14ac:dyDescent="0.25">
      <c r="A38" s="25" t="s">
        <v>235</v>
      </c>
      <c r="B38" s="25">
        <v>4704</v>
      </c>
      <c r="C38" s="25">
        <v>18.8</v>
      </c>
      <c r="D38" s="25">
        <v>2901</v>
      </c>
      <c r="E38" s="25">
        <v>279</v>
      </c>
      <c r="F38" s="25">
        <v>21</v>
      </c>
      <c r="G38" s="25">
        <v>166</v>
      </c>
      <c r="H38" s="25"/>
      <c r="I38" s="25"/>
      <c r="J38" s="25"/>
      <c r="K38" s="25"/>
      <c r="L38" s="25"/>
      <c r="M38" s="25"/>
      <c r="N38" s="25"/>
      <c r="O38" s="25"/>
    </row>
    <row r="39" spans="1:15" x14ac:dyDescent="0.25">
      <c r="A39" s="25" t="s">
        <v>457</v>
      </c>
      <c r="B39" s="25">
        <v>39279</v>
      </c>
      <c r="C39" s="25">
        <v>23101</v>
      </c>
      <c r="D39" s="25">
        <v>1597</v>
      </c>
      <c r="E39" s="25">
        <v>1130</v>
      </c>
      <c r="F39" s="25">
        <v>9</v>
      </c>
      <c r="G39" s="25">
        <v>40.799999999999997</v>
      </c>
      <c r="H39" s="25">
        <v>5</v>
      </c>
      <c r="I39" s="25">
        <v>320</v>
      </c>
      <c r="J39" s="25"/>
      <c r="K39" s="25"/>
      <c r="L39" s="25"/>
      <c r="M39" s="25"/>
      <c r="N39" s="25"/>
      <c r="O39" s="25"/>
    </row>
    <row r="40" spans="1:15" x14ac:dyDescent="0.25">
      <c r="A40" s="25" t="s">
        <v>428</v>
      </c>
      <c r="B40" s="25">
        <v>11756</v>
      </c>
      <c r="C40" s="25">
        <v>3.1</v>
      </c>
      <c r="D40" s="25">
        <v>2065</v>
      </c>
      <c r="E40" s="25">
        <v>0.55000000000000004</v>
      </c>
      <c r="F40" s="25">
        <v>59</v>
      </c>
      <c r="G40" s="25"/>
      <c r="H40" s="25"/>
      <c r="I40" s="25"/>
      <c r="J40" s="25"/>
      <c r="K40" s="25"/>
      <c r="L40" s="25"/>
      <c r="M40" s="25"/>
      <c r="N40" s="25"/>
      <c r="O40" s="25"/>
    </row>
    <row r="41" spans="1:15" x14ac:dyDescent="0.25">
      <c r="A41" s="25" t="s">
        <v>458</v>
      </c>
      <c r="B41" s="25">
        <v>9846</v>
      </c>
      <c r="C41" s="25">
        <v>732</v>
      </c>
      <c r="D41" s="25">
        <v>14</v>
      </c>
      <c r="E41" s="25">
        <v>0</v>
      </c>
      <c r="F41" s="25">
        <v>335</v>
      </c>
      <c r="G41" s="25">
        <v>273</v>
      </c>
      <c r="H41" s="25">
        <v>2654</v>
      </c>
      <c r="I41" s="25">
        <v>501</v>
      </c>
      <c r="J41" s="25">
        <v>86</v>
      </c>
      <c r="K41" s="25">
        <v>1067</v>
      </c>
      <c r="L41" s="25">
        <v>7191</v>
      </c>
      <c r="M41" s="25"/>
      <c r="N41" s="25"/>
      <c r="O41" s="25"/>
    </row>
    <row r="42" spans="1:15" x14ac:dyDescent="0.25">
      <c r="A42" s="25" t="s">
        <v>459</v>
      </c>
      <c r="B42" s="25">
        <v>542</v>
      </c>
      <c r="C42" s="25">
        <v>103</v>
      </c>
      <c r="D42" s="25">
        <v>74</v>
      </c>
      <c r="E42" s="25">
        <v>27</v>
      </c>
      <c r="F42" s="25">
        <v>19</v>
      </c>
      <c r="G42" s="25">
        <v>8</v>
      </c>
      <c r="H42" s="25">
        <v>830</v>
      </c>
      <c r="I42" s="25"/>
      <c r="J42" s="25"/>
      <c r="K42" s="25"/>
      <c r="L42" s="25"/>
      <c r="M42" s="25"/>
      <c r="N42" s="25"/>
      <c r="O42" s="25"/>
    </row>
    <row r="43" spans="1:15" x14ac:dyDescent="0.25">
      <c r="A43" s="25" t="s">
        <v>25</v>
      </c>
      <c r="B43" s="25">
        <v>8666</v>
      </c>
      <c r="C43" s="25">
        <v>56.6</v>
      </c>
      <c r="D43" s="25">
        <v>1.79</v>
      </c>
      <c r="E43" s="25">
        <v>7.8</v>
      </c>
      <c r="F43" s="25">
        <v>3342</v>
      </c>
      <c r="G43" s="25">
        <v>25.7</v>
      </c>
      <c r="H43" s="25"/>
      <c r="I43" s="25">
        <v>27.7</v>
      </c>
      <c r="J43" s="25">
        <v>25.7</v>
      </c>
      <c r="K43" s="25">
        <v>29.2</v>
      </c>
      <c r="L43" s="25">
        <v>23.2</v>
      </c>
      <c r="M43" s="25">
        <v>23.3</v>
      </c>
      <c r="N43" s="25"/>
      <c r="O43" s="25"/>
    </row>
    <row r="44" spans="1:15" x14ac:dyDescent="0.25">
      <c r="A44" s="25" t="s">
        <v>460</v>
      </c>
      <c r="B44" s="25">
        <v>186</v>
      </c>
      <c r="C44" s="25">
        <v>769</v>
      </c>
      <c r="D44" s="25">
        <v>272</v>
      </c>
      <c r="E44" s="25">
        <v>238</v>
      </c>
      <c r="F44" s="25">
        <v>85.9</v>
      </c>
      <c r="G44" s="25">
        <v>92.8</v>
      </c>
      <c r="H44" s="25">
        <v>798</v>
      </c>
      <c r="I44" s="25">
        <v>96.5</v>
      </c>
      <c r="J44" s="25">
        <v>264</v>
      </c>
      <c r="K44" s="25">
        <v>328</v>
      </c>
      <c r="L44" s="25"/>
      <c r="M44" s="25"/>
      <c r="N44" s="25"/>
      <c r="O44" s="25"/>
    </row>
    <row r="45" spans="1:15" x14ac:dyDescent="0.25">
      <c r="A45" s="25" t="s">
        <v>227</v>
      </c>
      <c r="B45" s="25">
        <v>2018</v>
      </c>
      <c r="C45" s="25">
        <v>8.1</v>
      </c>
      <c r="D45" s="25">
        <v>3038</v>
      </c>
      <c r="E45" s="25">
        <v>176</v>
      </c>
      <c r="F45" s="25"/>
      <c r="G45" s="25"/>
      <c r="H45" s="25"/>
      <c r="I45" s="25"/>
      <c r="J45" s="25"/>
      <c r="K45" s="25"/>
      <c r="L45" s="25"/>
      <c r="M45" s="25"/>
      <c r="N45" s="25"/>
      <c r="O45" s="25"/>
    </row>
    <row r="46" spans="1:15" x14ac:dyDescent="0.25">
      <c r="A46" s="25" t="s">
        <v>461</v>
      </c>
      <c r="B46" s="25">
        <v>1743</v>
      </c>
      <c r="C46" s="25">
        <v>5029</v>
      </c>
      <c r="D46" s="25">
        <v>20.399999999999999</v>
      </c>
      <c r="E46" s="25">
        <v>2</v>
      </c>
      <c r="F46" s="25">
        <v>453</v>
      </c>
      <c r="G46" s="25">
        <v>1</v>
      </c>
      <c r="H46" s="25">
        <v>241</v>
      </c>
      <c r="I46" s="25">
        <v>1157</v>
      </c>
      <c r="J46" s="25">
        <v>7759</v>
      </c>
      <c r="K46" s="25">
        <v>26.2</v>
      </c>
      <c r="L46" s="25">
        <v>97</v>
      </c>
      <c r="M46" s="25">
        <v>194</v>
      </c>
      <c r="N46" s="25">
        <v>5753</v>
      </c>
      <c r="O46" s="25"/>
    </row>
    <row r="47" spans="1:15" x14ac:dyDescent="0.25">
      <c r="A47" s="25" t="s">
        <v>434</v>
      </c>
      <c r="B47" s="25">
        <v>44</v>
      </c>
      <c r="C47" s="25">
        <v>10.199999999999999</v>
      </c>
      <c r="D47" s="25">
        <v>32</v>
      </c>
      <c r="E47" s="25">
        <v>7.4</v>
      </c>
      <c r="F47" s="25">
        <v>4008</v>
      </c>
      <c r="G47" s="25">
        <v>25606</v>
      </c>
      <c r="H47" s="25"/>
      <c r="I47" s="25"/>
      <c r="J47" s="25"/>
      <c r="K47" s="25"/>
      <c r="L47" s="25"/>
      <c r="M47" s="25"/>
      <c r="N47" s="25"/>
      <c r="O47" s="25"/>
    </row>
    <row r="48" spans="1:15" x14ac:dyDescent="0.25">
      <c r="A48" s="25" t="s">
        <v>228</v>
      </c>
      <c r="B48" s="25">
        <v>2743</v>
      </c>
      <c r="C48" s="25">
        <v>289</v>
      </c>
      <c r="D48" s="25">
        <v>2303</v>
      </c>
      <c r="E48" s="25">
        <v>1595</v>
      </c>
      <c r="F48" s="25">
        <v>1305</v>
      </c>
      <c r="G48" s="25">
        <v>1.47</v>
      </c>
      <c r="H48" s="25">
        <v>33.1</v>
      </c>
      <c r="I48" s="25">
        <v>36.299999999999997</v>
      </c>
      <c r="J48" s="25">
        <v>2980</v>
      </c>
      <c r="K48" s="25">
        <v>87.9</v>
      </c>
      <c r="L48" s="25"/>
      <c r="M48" s="25"/>
      <c r="N48" s="25"/>
      <c r="O48" s="25"/>
    </row>
    <row r="49" spans="1:15" x14ac:dyDescent="0.25">
      <c r="A49" s="25" t="s">
        <v>230</v>
      </c>
      <c r="B49" s="25">
        <v>100</v>
      </c>
      <c r="C49" s="25">
        <v>100</v>
      </c>
      <c r="D49" s="25">
        <v>100</v>
      </c>
      <c r="E49" s="25">
        <v>48.5</v>
      </c>
      <c r="F49" s="25">
        <v>53.3</v>
      </c>
      <c r="G49" s="25">
        <v>141</v>
      </c>
      <c r="H49" s="25"/>
      <c r="I49" s="25"/>
      <c r="J49" s="25"/>
      <c r="K49" s="25"/>
      <c r="L49" s="25"/>
      <c r="M49" s="25"/>
      <c r="N49" s="25"/>
      <c r="O49" s="25"/>
    </row>
    <row r="50" spans="1:15" x14ac:dyDescent="0.25">
      <c r="A50" s="25" t="s">
        <v>7</v>
      </c>
      <c r="B50" s="25">
        <v>74.099999999999994</v>
      </c>
      <c r="C50" s="25">
        <v>12</v>
      </c>
      <c r="D50" s="25">
        <v>2295</v>
      </c>
      <c r="E50" s="25">
        <v>6.2</v>
      </c>
      <c r="F50" s="25">
        <v>2266</v>
      </c>
      <c r="G50" s="25">
        <v>75.900000000000006</v>
      </c>
      <c r="H50" s="25"/>
      <c r="I50" s="25"/>
      <c r="J50" s="25"/>
      <c r="K50" s="25"/>
      <c r="L50" s="25"/>
      <c r="M50" s="25"/>
      <c r="N50" s="25"/>
      <c r="O50" s="25"/>
    </row>
    <row r="51" spans="1:15" x14ac:dyDescent="0.25">
      <c r="A51" s="25" t="s">
        <v>8</v>
      </c>
      <c r="B51" s="25">
        <v>213204</v>
      </c>
      <c r="C51" s="25">
        <v>124482</v>
      </c>
      <c r="D51" s="25">
        <v>7301</v>
      </c>
      <c r="E51" s="25">
        <v>29249</v>
      </c>
      <c r="F51" s="25">
        <v>142567</v>
      </c>
      <c r="G51" s="25">
        <v>39061</v>
      </c>
      <c r="H51" s="25">
        <v>2.4</v>
      </c>
      <c r="I51" s="25">
        <v>3.01</v>
      </c>
      <c r="J51" s="25">
        <v>6.76</v>
      </c>
      <c r="K51" s="25">
        <v>4611</v>
      </c>
      <c r="L51" s="25">
        <v>2454</v>
      </c>
      <c r="M51" s="25">
        <v>44</v>
      </c>
      <c r="N51" s="25">
        <v>0</v>
      </c>
      <c r="O51" s="25"/>
    </row>
    <row r="52" spans="1:15" x14ac:dyDescent="0.25">
      <c r="A52" s="25" t="s">
        <v>462</v>
      </c>
      <c r="B52" s="25">
        <v>23</v>
      </c>
      <c r="C52" s="25">
        <v>21</v>
      </c>
      <c r="D52" s="25">
        <v>19</v>
      </c>
      <c r="E52" s="25">
        <v>17</v>
      </c>
      <c r="F52" s="25">
        <v>0</v>
      </c>
      <c r="G52" s="25">
        <v>0</v>
      </c>
      <c r="H52" s="25">
        <v>0</v>
      </c>
      <c r="I52" s="25">
        <v>1945</v>
      </c>
      <c r="J52" s="25"/>
      <c r="K52" s="25"/>
      <c r="L52" s="25"/>
      <c r="M52" s="25"/>
      <c r="N52" s="25"/>
      <c r="O52" s="25"/>
    </row>
    <row r="53" spans="1:15" x14ac:dyDescent="0.25">
      <c r="A53" s="25" t="s">
        <v>463</v>
      </c>
      <c r="B53" s="25">
        <v>205</v>
      </c>
      <c r="C53" s="25">
        <v>0</v>
      </c>
      <c r="D53" s="25">
        <v>263</v>
      </c>
      <c r="E53" s="25">
        <v>19</v>
      </c>
      <c r="F53" s="25">
        <v>4824</v>
      </c>
      <c r="G53" s="25">
        <v>594</v>
      </c>
      <c r="H53" s="25">
        <v>240</v>
      </c>
      <c r="I53" s="25">
        <v>98.4</v>
      </c>
      <c r="J53" s="25">
        <v>655</v>
      </c>
      <c r="K53" s="25">
        <v>98.9</v>
      </c>
      <c r="L53" s="25">
        <v>195</v>
      </c>
      <c r="M53" s="25"/>
      <c r="N53" s="25"/>
      <c r="O53" s="25"/>
    </row>
    <row r="54" spans="1:15" x14ac:dyDescent="0.25">
      <c r="A54" s="25" t="s">
        <v>9</v>
      </c>
      <c r="B54" s="25">
        <v>1756</v>
      </c>
      <c r="C54" s="25">
        <v>1441</v>
      </c>
      <c r="D54" s="25">
        <v>5223</v>
      </c>
      <c r="E54" s="25">
        <v>1073</v>
      </c>
      <c r="F54" s="25">
        <v>7.06</v>
      </c>
      <c r="G54" s="25">
        <v>228655</v>
      </c>
      <c r="H54" s="25">
        <v>175046</v>
      </c>
      <c r="I54" s="25"/>
      <c r="J54" s="25"/>
      <c r="K54" s="25"/>
      <c r="L54" s="25"/>
      <c r="M54" s="25"/>
      <c r="N54" s="25"/>
      <c r="O54" s="25"/>
    </row>
    <row r="55" spans="1:15" x14ac:dyDescent="0.25">
      <c r="A55" s="25" t="s">
        <v>61</v>
      </c>
      <c r="B55" s="25">
        <v>50</v>
      </c>
      <c r="C55" s="25">
        <v>115</v>
      </c>
      <c r="D55" s="25">
        <v>40</v>
      </c>
      <c r="E55" s="25">
        <v>1414</v>
      </c>
      <c r="F55" s="25"/>
      <c r="G55" s="25"/>
      <c r="H55" s="25"/>
      <c r="I55" s="25"/>
      <c r="J55" s="25"/>
      <c r="K55" s="25"/>
      <c r="L55" s="25"/>
      <c r="M55" s="25"/>
      <c r="N55" s="25"/>
      <c r="O55" s="25"/>
    </row>
    <row r="56" spans="1:15" x14ac:dyDescent="0.25">
      <c r="A56" s="25" t="s">
        <v>233</v>
      </c>
      <c r="B56" s="25">
        <v>313790</v>
      </c>
      <c r="C56" s="25">
        <v>62588</v>
      </c>
      <c r="D56" s="25">
        <v>17966</v>
      </c>
      <c r="E56" s="25">
        <v>3.5</v>
      </c>
      <c r="F56" s="25">
        <v>0.23</v>
      </c>
      <c r="G56" s="25">
        <v>8.2899999999999991</v>
      </c>
      <c r="H56" s="25">
        <v>1.9</v>
      </c>
      <c r="I56" s="25"/>
      <c r="J56" s="25"/>
      <c r="K56" s="25"/>
      <c r="L56" s="25"/>
      <c r="M56" s="25"/>
      <c r="N56" s="25"/>
      <c r="O56" s="25"/>
    </row>
    <row r="57" spans="1:15" x14ac:dyDescent="0.25">
      <c r="A57" s="25" t="s">
        <v>10</v>
      </c>
      <c r="B57" s="25">
        <v>12638</v>
      </c>
      <c r="C57" s="25">
        <v>62</v>
      </c>
      <c r="D57" s="25">
        <v>648</v>
      </c>
      <c r="E57" s="25">
        <v>29</v>
      </c>
      <c r="F57" s="25">
        <v>18.399999999999999</v>
      </c>
      <c r="G57" s="25">
        <v>8698</v>
      </c>
      <c r="H57" s="25">
        <v>1953</v>
      </c>
      <c r="I57" s="25">
        <v>603</v>
      </c>
      <c r="J57" s="25">
        <v>20.8</v>
      </c>
      <c r="K57" s="25">
        <v>34.5</v>
      </c>
      <c r="L57" s="25"/>
      <c r="M57" s="25"/>
      <c r="N57" s="25"/>
      <c r="O57" s="25"/>
    </row>
    <row r="58" spans="1:15" x14ac:dyDescent="0.25">
      <c r="A58" s="25" t="s">
        <v>229</v>
      </c>
      <c r="B58" s="25">
        <v>4261</v>
      </c>
      <c r="C58" s="25">
        <v>1225</v>
      </c>
      <c r="D58" s="25">
        <v>1024</v>
      </c>
      <c r="E58" s="25">
        <v>799</v>
      </c>
      <c r="F58" s="25">
        <v>3.99</v>
      </c>
      <c r="G58" s="25">
        <v>21310</v>
      </c>
      <c r="H58" s="25">
        <v>85.3</v>
      </c>
      <c r="I58" s="25"/>
      <c r="J58" s="25"/>
      <c r="K58" s="25"/>
      <c r="L58" s="25"/>
      <c r="M58" s="25"/>
      <c r="N58" s="25"/>
      <c r="O58" s="25"/>
    </row>
    <row r="59" spans="1:15" x14ac:dyDescent="0.25">
      <c r="A59" s="25" t="s">
        <v>11</v>
      </c>
      <c r="B59" s="25">
        <v>985</v>
      </c>
      <c r="C59" s="25">
        <v>63.2</v>
      </c>
      <c r="D59" s="25">
        <v>7.25</v>
      </c>
      <c r="E59" s="25">
        <v>31.2</v>
      </c>
      <c r="F59" s="25">
        <v>48562</v>
      </c>
      <c r="G59" s="25">
        <v>126</v>
      </c>
      <c r="H59" s="25">
        <v>97.2</v>
      </c>
      <c r="I59" s="25">
        <v>100</v>
      </c>
      <c r="J59" s="25">
        <v>99.3</v>
      </c>
      <c r="K59" s="25">
        <v>99.3</v>
      </c>
      <c r="L59" s="25">
        <v>215.4</v>
      </c>
      <c r="M59" s="25"/>
      <c r="N59" s="25"/>
      <c r="O59" s="25"/>
    </row>
    <row r="60" spans="1:15" x14ac:dyDescent="0.25">
      <c r="A60" s="25" t="s">
        <v>12</v>
      </c>
      <c r="B60" s="25">
        <v>2</v>
      </c>
      <c r="C60" s="25">
        <v>353</v>
      </c>
      <c r="D60" s="25">
        <v>1</v>
      </c>
      <c r="E60" s="25">
        <v>94.6</v>
      </c>
      <c r="F60" s="25">
        <v>0</v>
      </c>
      <c r="G60" s="25">
        <v>1.6</v>
      </c>
      <c r="H60" s="25"/>
      <c r="I60" s="25"/>
      <c r="J60" s="25"/>
      <c r="K60" s="25"/>
      <c r="L60" s="25"/>
      <c r="M60" s="25"/>
      <c r="N60" s="25"/>
      <c r="O60" s="25"/>
    </row>
    <row r="61" spans="1:15" x14ac:dyDescent="0.25">
      <c r="A61" s="25" t="s">
        <v>13</v>
      </c>
      <c r="B61" s="25">
        <v>2109</v>
      </c>
      <c r="C61" s="25">
        <v>1503</v>
      </c>
      <c r="D61" s="25">
        <v>96.1</v>
      </c>
      <c r="E61" s="25">
        <v>87.2</v>
      </c>
      <c r="F61" s="25">
        <v>95.2</v>
      </c>
      <c r="G61" s="25">
        <v>0</v>
      </c>
      <c r="H61" s="25">
        <v>28041</v>
      </c>
      <c r="I61" s="25">
        <v>0</v>
      </c>
      <c r="J61" s="25">
        <v>103</v>
      </c>
      <c r="K61" s="25"/>
      <c r="L61" s="25"/>
      <c r="M61" s="25"/>
      <c r="N61" s="25"/>
      <c r="O61" s="25"/>
    </row>
    <row r="62" spans="1:15" x14ac:dyDescent="0.25">
      <c r="A62" s="25" t="s">
        <v>464</v>
      </c>
      <c r="B62" s="25">
        <v>1861</v>
      </c>
      <c r="C62" s="25">
        <v>1097</v>
      </c>
      <c r="D62" s="25">
        <v>2898</v>
      </c>
      <c r="E62" s="25">
        <v>11.8</v>
      </c>
      <c r="F62" s="25"/>
      <c r="G62" s="25"/>
      <c r="H62" s="25"/>
      <c r="I62" s="25"/>
      <c r="J62" s="25"/>
      <c r="K62" s="25"/>
      <c r="L62" s="25"/>
      <c r="M62" s="25"/>
      <c r="N62" s="25"/>
      <c r="O62" s="25"/>
    </row>
    <row r="63" spans="1:15" x14ac:dyDescent="0.25">
      <c r="A63" s="25" t="s">
        <v>14</v>
      </c>
      <c r="B63" s="25">
        <v>9001</v>
      </c>
      <c r="C63" s="25">
        <v>1928</v>
      </c>
      <c r="D63" s="25">
        <v>6</v>
      </c>
      <c r="E63" s="25">
        <v>6675</v>
      </c>
      <c r="F63" s="25"/>
      <c r="G63" s="25"/>
      <c r="H63" s="25"/>
      <c r="I63" s="25"/>
      <c r="J63" s="25"/>
      <c r="K63" s="25"/>
      <c r="L63" s="25"/>
      <c r="M63" s="25"/>
      <c r="N63" s="25"/>
      <c r="O63" s="25"/>
    </row>
    <row r="64" spans="1:15" x14ac:dyDescent="0.25">
      <c r="A64" s="25" t="s">
        <v>232</v>
      </c>
      <c r="B64" s="25">
        <v>51109</v>
      </c>
      <c r="C64" s="25">
        <v>7686</v>
      </c>
      <c r="D64" s="25">
        <v>2488</v>
      </c>
      <c r="E64" s="25">
        <v>9.9</v>
      </c>
      <c r="F64" s="25">
        <v>13.3</v>
      </c>
      <c r="G64" s="25">
        <v>11</v>
      </c>
      <c r="H64" s="25">
        <v>36.700000000000003</v>
      </c>
      <c r="I64" s="25">
        <v>32.200000000000003</v>
      </c>
      <c r="J64" s="25">
        <v>11.6</v>
      </c>
      <c r="K64" s="25"/>
      <c r="L64" s="25"/>
      <c r="M64" s="25"/>
      <c r="N64" s="25"/>
      <c r="O64" s="25"/>
    </row>
    <row r="65" spans="1:15" x14ac:dyDescent="0.25">
      <c r="A65" s="40">
        <v>911</v>
      </c>
      <c r="B65" s="25">
        <v>122006</v>
      </c>
      <c r="C65" s="25">
        <v>2.36</v>
      </c>
      <c r="D65" s="25">
        <v>0.92</v>
      </c>
      <c r="E65" s="25">
        <v>3.05</v>
      </c>
      <c r="F65" s="25">
        <v>4.51</v>
      </c>
      <c r="G65" s="25"/>
      <c r="H65" s="25"/>
      <c r="I65" s="25"/>
      <c r="J65" s="25"/>
      <c r="K65" s="25"/>
      <c r="L65" s="25"/>
      <c r="M65" s="25"/>
      <c r="N65" s="25"/>
      <c r="O65" s="25"/>
    </row>
    <row r="66" spans="1:15" x14ac:dyDescent="0.25">
      <c r="A66" s="25"/>
      <c r="B66" s="25"/>
      <c r="C66" s="25"/>
      <c r="D66" s="25"/>
      <c r="E66" s="25"/>
      <c r="F66" s="25"/>
      <c r="G66" s="25"/>
      <c r="H66" s="25"/>
      <c r="I66" s="25"/>
      <c r="J66" s="25"/>
      <c r="K66" s="25"/>
      <c r="L66" s="25"/>
      <c r="M66" s="25"/>
      <c r="N66" s="25"/>
      <c r="O66" s="25"/>
    </row>
    <row r="67" spans="1:15" x14ac:dyDescent="0.25">
      <c r="A67" s="25" t="s">
        <v>477</v>
      </c>
      <c r="B67" s="25"/>
      <c r="C67" s="25"/>
      <c r="D67" s="25"/>
      <c r="E67" s="25"/>
      <c r="F67" s="25"/>
      <c r="G67" s="25"/>
      <c r="H67" s="25"/>
      <c r="I67" s="25" t="s">
        <v>476</v>
      </c>
      <c r="J67" s="25"/>
      <c r="K67" s="25"/>
      <c r="L67" s="25"/>
      <c r="M67" s="25"/>
      <c r="N67" s="25"/>
      <c r="O67" s="25"/>
    </row>
    <row r="68" spans="1:15" x14ac:dyDescent="0.25">
      <c r="A68" s="43" t="s">
        <v>456</v>
      </c>
      <c r="B68" s="43">
        <v>1</v>
      </c>
      <c r="C68" s="43">
        <v>2</v>
      </c>
      <c r="D68" s="43">
        <v>3</v>
      </c>
      <c r="E68" s="43">
        <v>4</v>
      </c>
      <c r="F68" s="43">
        <v>5</v>
      </c>
      <c r="G68" s="43">
        <v>6</v>
      </c>
      <c r="H68" s="43">
        <v>7</v>
      </c>
      <c r="I68" s="43">
        <v>8</v>
      </c>
      <c r="J68" s="43">
        <v>9</v>
      </c>
      <c r="K68" s="43">
        <v>10</v>
      </c>
      <c r="L68" s="43">
        <v>11</v>
      </c>
      <c r="M68" s="43">
        <v>12</v>
      </c>
      <c r="N68" s="43">
        <v>13</v>
      </c>
      <c r="O68" s="25"/>
    </row>
    <row r="69" spans="1:15" x14ac:dyDescent="0.25">
      <c r="A69" s="25" t="s">
        <v>454</v>
      </c>
      <c r="B69" s="25">
        <v>68329</v>
      </c>
      <c r="C69" s="25">
        <v>65</v>
      </c>
      <c r="D69" s="25">
        <v>211</v>
      </c>
      <c r="E69" s="25">
        <v>44198</v>
      </c>
      <c r="F69" s="25">
        <v>68</v>
      </c>
      <c r="G69" s="25"/>
      <c r="H69" s="25"/>
      <c r="I69" s="25"/>
      <c r="J69" s="25"/>
      <c r="K69" s="25"/>
      <c r="L69" s="25"/>
      <c r="M69" s="25"/>
      <c r="N69" s="25"/>
      <c r="O69" s="25"/>
    </row>
    <row r="70" spans="1:15" x14ac:dyDescent="0.25">
      <c r="A70" s="25" t="s">
        <v>4</v>
      </c>
      <c r="B70" s="25">
        <v>10271</v>
      </c>
      <c r="C70" s="25">
        <v>21140</v>
      </c>
      <c r="D70" s="25">
        <v>49792</v>
      </c>
      <c r="E70" s="25">
        <v>19.100000000000001</v>
      </c>
      <c r="F70" s="25">
        <v>5.3</v>
      </c>
      <c r="G70" s="25"/>
      <c r="H70" s="25"/>
      <c r="I70" s="25"/>
      <c r="J70" s="25"/>
      <c r="K70" s="25"/>
      <c r="L70" s="25"/>
      <c r="M70" s="25"/>
      <c r="N70" s="25"/>
      <c r="O70" s="25"/>
    </row>
    <row r="71" spans="1:15" x14ac:dyDescent="0.25">
      <c r="A71" s="25" t="s">
        <v>235</v>
      </c>
      <c r="B71" s="25">
        <v>3925</v>
      </c>
      <c r="C71" s="25">
        <v>15.9</v>
      </c>
      <c r="D71" s="25">
        <v>2052</v>
      </c>
      <c r="E71" s="25">
        <v>340</v>
      </c>
      <c r="F71" s="25">
        <v>50</v>
      </c>
      <c r="G71" s="25">
        <v>132</v>
      </c>
      <c r="H71" s="25"/>
      <c r="I71" s="25"/>
      <c r="J71" s="25"/>
      <c r="K71" s="25"/>
      <c r="L71" s="25"/>
      <c r="M71" s="25"/>
      <c r="N71" s="25"/>
      <c r="O71" s="25"/>
    </row>
    <row r="72" spans="1:15" x14ac:dyDescent="0.25">
      <c r="A72" s="25" t="s">
        <v>457</v>
      </c>
      <c r="B72" s="25">
        <v>39784</v>
      </c>
      <c r="C72" s="25">
        <v>78185</v>
      </c>
      <c r="D72" s="25">
        <v>3217</v>
      </c>
      <c r="E72" s="25">
        <v>3201</v>
      </c>
      <c r="F72" s="25">
        <v>21.4</v>
      </c>
      <c r="G72" s="25">
        <v>38.9</v>
      </c>
      <c r="H72" s="25">
        <v>5.5</v>
      </c>
      <c r="I72" s="25">
        <v>667</v>
      </c>
      <c r="J72" s="25"/>
      <c r="K72" s="25"/>
      <c r="L72" s="25"/>
      <c r="M72" s="25"/>
      <c r="N72" s="25"/>
      <c r="O72" s="25"/>
    </row>
    <row r="73" spans="1:15" x14ac:dyDescent="0.25">
      <c r="A73" s="25" t="s">
        <v>428</v>
      </c>
      <c r="B73" s="25">
        <v>12252</v>
      </c>
      <c r="C73" s="25">
        <v>3.3</v>
      </c>
      <c r="D73" s="25">
        <v>2297</v>
      </c>
      <c r="E73" s="25">
        <v>0.62</v>
      </c>
      <c r="F73" s="25">
        <v>47.5</v>
      </c>
      <c r="G73" s="25"/>
      <c r="H73" s="25"/>
      <c r="I73" s="25"/>
      <c r="J73" s="25"/>
      <c r="K73" s="25"/>
      <c r="L73" s="25"/>
      <c r="M73" s="25"/>
      <c r="N73" s="25"/>
      <c r="O73" s="25"/>
    </row>
    <row r="74" spans="1:15" x14ac:dyDescent="0.25">
      <c r="A74" s="25" t="s">
        <v>458</v>
      </c>
      <c r="B74" s="25"/>
      <c r="C74" s="25"/>
      <c r="D74" s="25"/>
      <c r="E74" s="25"/>
      <c r="F74" s="25"/>
      <c r="G74" s="25"/>
      <c r="H74" s="25"/>
      <c r="I74" s="25"/>
      <c r="J74" s="25"/>
      <c r="K74" s="25"/>
      <c r="L74" s="25"/>
      <c r="M74" s="25"/>
      <c r="N74" s="25"/>
      <c r="O74" s="25"/>
    </row>
    <row r="75" spans="1:15" x14ac:dyDescent="0.25">
      <c r="A75" s="25" t="s">
        <v>459</v>
      </c>
      <c r="B75" s="25">
        <v>510</v>
      </c>
      <c r="C75" s="25">
        <v>111</v>
      </c>
      <c r="D75" s="25">
        <v>74</v>
      </c>
      <c r="E75" s="25">
        <v>22</v>
      </c>
      <c r="F75" s="25">
        <v>26</v>
      </c>
      <c r="G75" s="25">
        <v>7</v>
      </c>
      <c r="H75" s="25">
        <v>284</v>
      </c>
      <c r="I75" s="25"/>
      <c r="J75" s="25"/>
      <c r="K75" s="25"/>
      <c r="L75" s="25"/>
      <c r="M75" s="25"/>
      <c r="N75" s="25"/>
      <c r="O75" s="25"/>
    </row>
    <row r="76" spans="1:15" x14ac:dyDescent="0.25">
      <c r="A76" s="25" t="s">
        <v>25</v>
      </c>
      <c r="B76" s="25">
        <v>8625</v>
      </c>
      <c r="C76" s="25">
        <v>58.6</v>
      </c>
      <c r="D76" s="25">
        <v>1.67</v>
      </c>
      <c r="E76" s="25">
        <v>7.86</v>
      </c>
      <c r="F76" s="25">
        <v>3200</v>
      </c>
      <c r="G76" s="25">
        <v>26.7</v>
      </c>
      <c r="H76" s="25"/>
      <c r="I76" s="25">
        <v>28.3</v>
      </c>
      <c r="J76" s="25">
        <v>26.1</v>
      </c>
      <c r="K76" s="25">
        <v>30.7</v>
      </c>
      <c r="L76" s="25">
        <v>22.9</v>
      </c>
      <c r="M76" s="25">
        <v>24.9</v>
      </c>
      <c r="N76" s="25"/>
      <c r="O76" s="25"/>
    </row>
    <row r="77" spans="1:15" x14ac:dyDescent="0.25">
      <c r="A77" s="25" t="s">
        <v>460</v>
      </c>
      <c r="B77" s="25">
        <v>157</v>
      </c>
      <c r="C77" s="25">
        <v>768</v>
      </c>
      <c r="D77" s="25">
        <v>318</v>
      </c>
      <c r="E77" s="25">
        <v>237</v>
      </c>
      <c r="F77" s="25">
        <v>74.8</v>
      </c>
      <c r="G77" s="25">
        <v>94.9</v>
      </c>
      <c r="H77" s="25">
        <v>691</v>
      </c>
      <c r="I77" s="25">
        <v>100</v>
      </c>
      <c r="J77" s="25">
        <v>215</v>
      </c>
      <c r="K77" s="25">
        <v>238</v>
      </c>
      <c r="L77" s="25"/>
      <c r="M77" s="25"/>
      <c r="N77" s="25"/>
      <c r="O77" s="25"/>
    </row>
    <row r="78" spans="1:15" x14ac:dyDescent="0.25">
      <c r="A78" s="25" t="s">
        <v>227</v>
      </c>
      <c r="B78" s="25">
        <v>1988</v>
      </c>
      <c r="C78" s="25">
        <v>8.07</v>
      </c>
      <c r="D78" s="25">
        <v>2672</v>
      </c>
      <c r="E78" s="25">
        <v>147</v>
      </c>
      <c r="F78" s="25"/>
      <c r="G78" s="25"/>
      <c r="H78" s="25"/>
      <c r="I78" s="25"/>
      <c r="J78" s="25"/>
      <c r="K78" s="25"/>
      <c r="L78" s="25"/>
      <c r="M78" s="25"/>
      <c r="N78" s="25"/>
      <c r="O78" s="25"/>
    </row>
    <row r="79" spans="1:15" x14ac:dyDescent="0.25">
      <c r="A79" s="25" t="s">
        <v>461</v>
      </c>
      <c r="B79" s="25">
        <v>1589</v>
      </c>
      <c r="C79" s="25">
        <v>4665</v>
      </c>
      <c r="D79" s="25">
        <v>18.8</v>
      </c>
      <c r="E79" s="25">
        <v>8</v>
      </c>
      <c r="F79" s="25">
        <v>375</v>
      </c>
      <c r="G79" s="25">
        <v>1</v>
      </c>
      <c r="H79" s="25">
        <v>155</v>
      </c>
      <c r="I79" s="25">
        <v>995</v>
      </c>
      <c r="J79" s="25">
        <v>7440</v>
      </c>
      <c r="K79" s="25">
        <v>28.3</v>
      </c>
      <c r="L79" s="25">
        <v>95</v>
      </c>
      <c r="M79" s="25">
        <v>220</v>
      </c>
      <c r="N79" s="25">
        <v>5307</v>
      </c>
      <c r="O79" s="25"/>
    </row>
    <row r="80" spans="1:15" x14ac:dyDescent="0.25">
      <c r="A80" s="25" t="s">
        <v>434</v>
      </c>
      <c r="B80" s="25">
        <v>38</v>
      </c>
      <c r="C80" s="25">
        <v>9.0500000000000007</v>
      </c>
      <c r="D80" s="25">
        <v>31</v>
      </c>
      <c r="E80" s="25">
        <v>7.48</v>
      </c>
      <c r="F80" s="25">
        <v>3227</v>
      </c>
      <c r="G80" s="25">
        <v>26989</v>
      </c>
      <c r="H80" s="25"/>
      <c r="I80" s="25"/>
      <c r="J80" s="25"/>
      <c r="K80" s="25"/>
      <c r="L80" s="25"/>
      <c r="M80" s="25"/>
      <c r="N80" s="25"/>
      <c r="O80" s="25"/>
    </row>
    <row r="81" spans="1:15" x14ac:dyDescent="0.25">
      <c r="A81" s="25" t="s">
        <v>228</v>
      </c>
      <c r="B81" s="25">
        <v>2304</v>
      </c>
      <c r="C81" s="25">
        <v>281</v>
      </c>
      <c r="D81" s="25">
        <v>2445</v>
      </c>
      <c r="E81" s="25">
        <v>1374</v>
      </c>
      <c r="F81" s="25">
        <v>1342</v>
      </c>
      <c r="G81" s="25">
        <v>1.53</v>
      </c>
      <c r="H81" s="25">
        <v>31.5</v>
      </c>
      <c r="I81" s="25">
        <v>32.4</v>
      </c>
      <c r="J81" s="25">
        <v>3222</v>
      </c>
      <c r="K81" s="25">
        <v>89.2</v>
      </c>
      <c r="L81" s="25"/>
      <c r="M81" s="25"/>
      <c r="N81" s="25"/>
      <c r="O81" s="25"/>
    </row>
    <row r="82" spans="1:15" x14ac:dyDescent="0.25">
      <c r="A82" s="25" t="s">
        <v>230</v>
      </c>
      <c r="B82" s="25">
        <v>100</v>
      </c>
      <c r="C82" s="25">
        <v>100</v>
      </c>
      <c r="D82" s="25">
        <v>100</v>
      </c>
      <c r="E82" s="25">
        <v>49</v>
      </c>
      <c r="F82" s="25">
        <v>58</v>
      </c>
      <c r="G82" s="25">
        <v>112</v>
      </c>
      <c r="H82" s="25"/>
      <c r="I82" s="25"/>
      <c r="J82" s="25"/>
      <c r="K82" s="25"/>
      <c r="L82" s="25"/>
      <c r="M82" s="25"/>
      <c r="N82" s="25"/>
      <c r="O82" s="25"/>
    </row>
    <row r="83" spans="1:15" x14ac:dyDescent="0.25">
      <c r="A83" s="25" t="s">
        <v>7</v>
      </c>
      <c r="B83" s="25">
        <v>73.400000000000006</v>
      </c>
      <c r="C83" s="25">
        <v>12.9</v>
      </c>
      <c r="D83" s="25">
        <v>2084</v>
      </c>
      <c r="E83" s="25">
        <v>5.7</v>
      </c>
      <c r="F83" s="25">
        <v>2094</v>
      </c>
      <c r="G83" s="25">
        <v>66.599999999999994</v>
      </c>
      <c r="H83" s="25"/>
      <c r="I83" s="25"/>
      <c r="J83" s="25"/>
      <c r="K83" s="25"/>
      <c r="L83" s="25"/>
      <c r="M83" s="25"/>
      <c r="N83" s="25"/>
      <c r="O83" s="25"/>
    </row>
    <row r="84" spans="1:15" x14ac:dyDescent="0.25">
      <c r="A84" s="25" t="s">
        <v>8</v>
      </c>
      <c r="B84" s="25">
        <v>190288</v>
      </c>
      <c r="C84" s="25">
        <v>111973</v>
      </c>
      <c r="D84" s="25">
        <v>8552</v>
      </c>
      <c r="E84" s="25">
        <v>30437</v>
      </c>
      <c r="F84" s="25">
        <v>144869</v>
      </c>
      <c r="G84" s="25">
        <v>35186</v>
      </c>
      <c r="H84" s="25">
        <v>2.57</v>
      </c>
      <c r="I84" s="25">
        <v>3.13</v>
      </c>
      <c r="J84" s="25">
        <v>6.51</v>
      </c>
      <c r="K84" s="25">
        <v>3508</v>
      </c>
      <c r="L84" s="25">
        <v>2286</v>
      </c>
      <c r="M84" s="25">
        <v>39</v>
      </c>
      <c r="N84" s="25">
        <v>0</v>
      </c>
      <c r="O84" s="25"/>
    </row>
    <row r="85" spans="1:15" x14ac:dyDescent="0.25">
      <c r="A85" s="25" t="s">
        <v>462</v>
      </c>
      <c r="B85" s="25">
        <v>14</v>
      </c>
      <c r="C85" s="25">
        <v>14</v>
      </c>
      <c r="D85" s="25">
        <v>15</v>
      </c>
      <c r="E85" s="25">
        <v>14</v>
      </c>
      <c r="F85" s="25">
        <v>0</v>
      </c>
      <c r="G85" s="25">
        <v>0</v>
      </c>
      <c r="H85" s="25">
        <v>1240</v>
      </c>
      <c r="I85" s="25">
        <v>3.3</v>
      </c>
      <c r="J85" s="25">
        <v>3.3</v>
      </c>
      <c r="K85" s="25"/>
      <c r="L85" s="25"/>
      <c r="M85" s="25"/>
      <c r="N85" s="25"/>
      <c r="O85" s="25"/>
    </row>
    <row r="86" spans="1:15" x14ac:dyDescent="0.25">
      <c r="A86" s="25" t="s">
        <v>463</v>
      </c>
      <c r="B86" s="25">
        <v>309</v>
      </c>
      <c r="C86" s="25">
        <v>1</v>
      </c>
      <c r="D86" s="25">
        <v>381</v>
      </c>
      <c r="E86" s="25">
        <v>23</v>
      </c>
      <c r="F86" s="25">
        <v>3545</v>
      </c>
      <c r="G86" s="25">
        <v>506</v>
      </c>
      <c r="H86" s="25">
        <v>3436</v>
      </c>
      <c r="I86" s="25">
        <v>94.2</v>
      </c>
      <c r="J86" s="25">
        <v>586</v>
      </c>
      <c r="K86" s="25">
        <v>95.8</v>
      </c>
      <c r="L86" s="25">
        <v>139</v>
      </c>
      <c r="M86" s="25"/>
      <c r="N86" s="25"/>
      <c r="O86" s="25"/>
    </row>
    <row r="87" spans="1:15" x14ac:dyDescent="0.25">
      <c r="A87" s="25" t="s">
        <v>9</v>
      </c>
      <c r="B87" s="25">
        <v>2070</v>
      </c>
      <c r="C87" s="25">
        <v>1635</v>
      </c>
      <c r="D87" s="25">
        <v>4892</v>
      </c>
      <c r="E87" s="25">
        <v>755</v>
      </c>
      <c r="F87" s="25">
        <v>8.4</v>
      </c>
      <c r="G87" s="25">
        <v>243999</v>
      </c>
      <c r="H87" s="25">
        <v>215236</v>
      </c>
      <c r="I87" s="25"/>
      <c r="J87" s="25"/>
      <c r="K87" s="25"/>
      <c r="L87" s="25"/>
      <c r="M87" s="25"/>
      <c r="N87" s="25"/>
      <c r="O87" s="25"/>
    </row>
    <row r="88" spans="1:15" x14ac:dyDescent="0.25">
      <c r="A88" s="25" t="s">
        <v>61</v>
      </c>
      <c r="B88" s="25">
        <v>29</v>
      </c>
      <c r="C88" s="25">
        <v>127</v>
      </c>
      <c r="D88" s="25">
        <v>33</v>
      </c>
      <c r="E88" s="25">
        <v>1323</v>
      </c>
      <c r="F88" s="25"/>
      <c r="G88" s="25"/>
      <c r="H88" s="25"/>
      <c r="I88" s="25"/>
      <c r="J88" s="25"/>
      <c r="K88" s="25"/>
      <c r="L88" s="25"/>
      <c r="M88" s="25"/>
      <c r="N88" s="25"/>
      <c r="O88" s="25"/>
    </row>
    <row r="89" spans="1:15" x14ac:dyDescent="0.25">
      <c r="A89" s="25" t="s">
        <v>233</v>
      </c>
      <c r="B89" s="25">
        <v>286007</v>
      </c>
      <c r="C89" s="25">
        <v>53350</v>
      </c>
      <c r="D89" s="25">
        <v>16929</v>
      </c>
      <c r="E89" s="25">
        <v>3.3</v>
      </c>
      <c r="F89" s="25">
        <v>0.2</v>
      </c>
      <c r="G89" s="25">
        <v>10.18</v>
      </c>
      <c r="H89" s="25">
        <v>1.91</v>
      </c>
      <c r="I89" s="25"/>
      <c r="J89" s="25"/>
      <c r="K89" s="25"/>
      <c r="L89" s="25"/>
      <c r="M89" s="25"/>
      <c r="N89" s="25"/>
      <c r="O89" s="25"/>
    </row>
    <row r="90" spans="1:15" x14ac:dyDescent="0.25">
      <c r="A90" s="25" t="s">
        <v>10</v>
      </c>
      <c r="B90" s="25">
        <v>12785</v>
      </c>
      <c r="C90" s="25">
        <v>50</v>
      </c>
      <c r="D90" s="25">
        <v>498</v>
      </c>
      <c r="E90" s="25">
        <v>19</v>
      </c>
      <c r="F90" s="25">
        <v>27.8</v>
      </c>
      <c r="G90" s="25">
        <v>4874</v>
      </c>
      <c r="H90" s="25">
        <v>3146</v>
      </c>
      <c r="I90" s="25">
        <v>1178</v>
      </c>
      <c r="J90" s="25">
        <v>20.399999999999999</v>
      </c>
      <c r="K90" s="25">
        <v>35.299999999999997</v>
      </c>
      <c r="L90" s="25"/>
      <c r="M90" s="25"/>
      <c r="N90" s="25"/>
      <c r="O90" s="25"/>
    </row>
    <row r="91" spans="1:15" x14ac:dyDescent="0.25">
      <c r="A91" s="25" t="s">
        <v>229</v>
      </c>
      <c r="B91" s="25">
        <v>3819</v>
      </c>
      <c r="C91" s="25">
        <v>1116</v>
      </c>
      <c r="D91" s="25">
        <v>977</v>
      </c>
      <c r="E91" s="25">
        <v>840</v>
      </c>
      <c r="F91" s="25">
        <v>3.99</v>
      </c>
      <c r="G91" s="25">
        <v>21866</v>
      </c>
      <c r="H91" s="25">
        <v>88.8</v>
      </c>
      <c r="I91" s="25"/>
      <c r="J91" s="25"/>
      <c r="K91" s="25"/>
      <c r="L91" s="25"/>
      <c r="M91" s="25"/>
      <c r="N91" s="25"/>
      <c r="O91" s="25"/>
    </row>
    <row r="92" spans="1:15" x14ac:dyDescent="0.25">
      <c r="A92" s="25" t="s">
        <v>11</v>
      </c>
      <c r="B92" s="25">
        <v>890</v>
      </c>
      <c r="C92" s="25">
        <v>66.099999999999994</v>
      </c>
      <c r="D92" s="25">
        <v>7</v>
      </c>
      <c r="E92" s="25">
        <v>38.799999999999997</v>
      </c>
      <c r="F92" s="25">
        <v>49601</v>
      </c>
      <c r="G92" s="25">
        <v>201</v>
      </c>
      <c r="H92" s="25">
        <v>100</v>
      </c>
      <c r="I92" s="25">
        <v>98.6</v>
      </c>
      <c r="J92" s="25">
        <v>98.1</v>
      </c>
      <c r="K92" s="25">
        <v>99.4</v>
      </c>
      <c r="L92" s="25">
        <v>132</v>
      </c>
      <c r="M92" s="25"/>
      <c r="N92" s="25"/>
      <c r="O92" s="25"/>
    </row>
    <row r="93" spans="1:15" x14ac:dyDescent="0.25">
      <c r="A93" s="25" t="s">
        <v>12</v>
      </c>
      <c r="B93" s="25">
        <v>3</v>
      </c>
      <c r="C93" s="25">
        <v>470</v>
      </c>
      <c r="D93" s="25">
        <v>1</v>
      </c>
      <c r="E93" s="25">
        <v>98.7</v>
      </c>
      <c r="F93" s="25">
        <v>1.36</v>
      </c>
      <c r="G93" s="25">
        <v>0</v>
      </c>
      <c r="H93" s="25"/>
      <c r="I93" s="25"/>
      <c r="J93" s="25"/>
      <c r="K93" s="25"/>
      <c r="L93" s="25"/>
      <c r="M93" s="25"/>
      <c r="N93" s="25"/>
      <c r="O93" s="25"/>
    </row>
    <row r="94" spans="1:15" x14ac:dyDescent="0.25">
      <c r="A94" s="25" t="s">
        <v>13</v>
      </c>
      <c r="B94" s="25">
        <v>3385</v>
      </c>
      <c r="C94" s="25">
        <v>5161</v>
      </c>
      <c r="D94" s="25">
        <v>95.95</v>
      </c>
      <c r="E94" s="25">
        <v>86.51</v>
      </c>
      <c r="F94" s="25">
        <v>95.14</v>
      </c>
      <c r="G94" s="25">
        <v>0</v>
      </c>
      <c r="H94" s="25">
        <v>117160</v>
      </c>
      <c r="I94" s="25">
        <v>0</v>
      </c>
      <c r="J94" s="25">
        <v>353</v>
      </c>
      <c r="K94" s="25"/>
      <c r="L94" s="25"/>
      <c r="M94" s="25"/>
      <c r="N94" s="25"/>
      <c r="O94" s="25"/>
    </row>
    <row r="95" spans="1:15" x14ac:dyDescent="0.25">
      <c r="A95" s="25" t="s">
        <v>464</v>
      </c>
      <c r="B95" s="25">
        <v>2700</v>
      </c>
      <c r="C95" s="25">
        <v>1317</v>
      </c>
      <c r="D95" s="25">
        <v>4017</v>
      </c>
      <c r="E95" s="25">
        <v>16.899999999999999</v>
      </c>
      <c r="F95" s="25"/>
      <c r="G95" s="25"/>
      <c r="H95" s="25"/>
      <c r="I95" s="25"/>
      <c r="J95" s="25"/>
      <c r="K95" s="25"/>
      <c r="L95" s="25"/>
      <c r="M95" s="25"/>
      <c r="N95" s="25"/>
      <c r="O95" s="25"/>
    </row>
    <row r="96" spans="1:15" x14ac:dyDescent="0.25">
      <c r="A96" s="25" t="s">
        <v>14</v>
      </c>
      <c r="B96" s="25">
        <v>9333</v>
      </c>
      <c r="C96" s="25">
        <v>2204</v>
      </c>
      <c r="D96" s="25">
        <v>6</v>
      </c>
      <c r="E96" s="25">
        <v>6647</v>
      </c>
      <c r="F96" s="25"/>
      <c r="G96" s="25"/>
      <c r="H96" s="25"/>
      <c r="I96" s="25"/>
      <c r="J96" s="25"/>
      <c r="K96" s="25"/>
      <c r="L96" s="25"/>
      <c r="M96" s="25"/>
      <c r="N96" s="25"/>
      <c r="O96" s="25"/>
    </row>
    <row r="97" spans="1:15" x14ac:dyDescent="0.25">
      <c r="A97" s="25" t="s">
        <v>232</v>
      </c>
      <c r="B97" s="25">
        <v>53104</v>
      </c>
      <c r="C97" s="25">
        <v>7709</v>
      </c>
      <c r="D97" s="25">
        <v>2758</v>
      </c>
      <c r="E97" s="25">
        <v>11.1</v>
      </c>
      <c r="F97" s="25">
        <v>12</v>
      </c>
      <c r="G97" s="25">
        <v>4</v>
      </c>
      <c r="H97" s="25">
        <v>273</v>
      </c>
      <c r="I97" s="25">
        <v>262</v>
      </c>
      <c r="J97" s="25">
        <v>20.5</v>
      </c>
      <c r="K97" s="25"/>
      <c r="L97" s="25"/>
      <c r="M97" s="25"/>
      <c r="N97" s="25"/>
      <c r="O97" s="25"/>
    </row>
    <row r="98" spans="1:15" x14ac:dyDescent="0.25">
      <c r="A98" s="40">
        <v>911</v>
      </c>
      <c r="B98" s="25">
        <v>116332</v>
      </c>
      <c r="C98" s="25">
        <v>2.6</v>
      </c>
      <c r="D98" s="25">
        <v>0.98</v>
      </c>
      <c r="E98" s="25">
        <v>3.21</v>
      </c>
      <c r="F98" s="25">
        <v>4.3899999999999997</v>
      </c>
      <c r="G98" s="25"/>
      <c r="H98" s="25"/>
      <c r="I98" s="25"/>
      <c r="J98" s="25"/>
      <c r="K98" s="25"/>
      <c r="L98" s="25"/>
      <c r="M98" s="25"/>
      <c r="N98" s="25"/>
      <c r="O98" s="25"/>
    </row>
    <row r="99" spans="1:15" x14ac:dyDescent="0.25">
      <c r="A99" s="25"/>
      <c r="B99" s="25"/>
      <c r="C99" s="25"/>
      <c r="D99" s="25"/>
      <c r="E99" s="25"/>
      <c r="F99" s="25"/>
      <c r="G99" s="25"/>
      <c r="H99" s="25"/>
      <c r="I99" s="25"/>
      <c r="J99" s="25"/>
      <c r="K99" s="25"/>
      <c r="L99" s="25"/>
      <c r="M99" s="25"/>
      <c r="N99" s="25"/>
      <c r="O99" s="25"/>
    </row>
    <row r="100" spans="1:15" x14ac:dyDescent="0.25">
      <c r="A100" s="25"/>
      <c r="B100" s="25"/>
      <c r="C100" s="25"/>
      <c r="D100" s="25"/>
      <c r="E100" s="25"/>
      <c r="F100" s="25"/>
      <c r="G100" s="25"/>
      <c r="H100" s="25"/>
      <c r="I100" s="25"/>
      <c r="J100" s="25"/>
      <c r="K100" s="25"/>
      <c r="L100" s="25"/>
      <c r="M100" s="25"/>
      <c r="N100" s="25"/>
      <c r="O100" s="25"/>
    </row>
    <row r="101" spans="1:15" x14ac:dyDescent="0.25">
      <c r="A101" s="25" t="s">
        <v>495</v>
      </c>
      <c r="B101" s="25"/>
      <c r="C101" s="25"/>
      <c r="D101" s="25"/>
      <c r="E101" s="25"/>
      <c r="F101" s="25"/>
      <c r="G101" s="25"/>
      <c r="H101" s="25"/>
      <c r="I101" s="25" t="s">
        <v>494</v>
      </c>
      <c r="J101" s="25"/>
      <c r="K101" s="25"/>
      <c r="L101" s="25"/>
      <c r="M101" s="25"/>
      <c r="N101" s="25"/>
      <c r="O101" s="25"/>
    </row>
    <row r="102" spans="1:15" x14ac:dyDescent="0.25">
      <c r="A102" s="43" t="s">
        <v>456</v>
      </c>
      <c r="B102" s="43">
        <v>1</v>
      </c>
      <c r="C102" s="43">
        <v>2</v>
      </c>
      <c r="D102" s="43">
        <v>3</v>
      </c>
      <c r="E102" s="43">
        <v>4</v>
      </c>
      <c r="F102" s="43">
        <v>5</v>
      </c>
      <c r="G102" s="43">
        <v>6</v>
      </c>
      <c r="H102" s="43">
        <v>7</v>
      </c>
      <c r="I102" s="43">
        <v>8</v>
      </c>
      <c r="J102" s="43">
        <v>9</v>
      </c>
      <c r="K102" s="43">
        <v>10</v>
      </c>
      <c r="L102" s="43">
        <v>11</v>
      </c>
      <c r="M102" s="43">
        <v>12</v>
      </c>
      <c r="N102" s="43">
        <v>13</v>
      </c>
      <c r="O102" s="25"/>
    </row>
    <row r="103" spans="1:15" x14ac:dyDescent="0.25">
      <c r="A103" s="25" t="s">
        <v>454</v>
      </c>
      <c r="B103" s="25">
        <v>64105</v>
      </c>
      <c r="C103" s="25">
        <v>59</v>
      </c>
      <c r="D103" s="25">
        <v>203</v>
      </c>
      <c r="E103" s="25">
        <v>48691</v>
      </c>
      <c r="F103" s="25">
        <v>55</v>
      </c>
      <c r="G103" s="25"/>
      <c r="H103" s="25"/>
      <c r="I103" s="25"/>
      <c r="J103" s="25"/>
      <c r="K103" s="25"/>
      <c r="L103" s="25"/>
      <c r="M103" s="25"/>
      <c r="N103" s="25"/>
      <c r="O103" s="25"/>
    </row>
    <row r="104" spans="1:15" x14ac:dyDescent="0.25">
      <c r="A104" s="25" t="s">
        <v>4</v>
      </c>
      <c r="B104" s="25">
        <v>13200</v>
      </c>
      <c r="C104" s="25">
        <v>24813</v>
      </c>
      <c r="D104" s="25">
        <v>55283</v>
      </c>
      <c r="E104" s="25">
        <v>23</v>
      </c>
      <c r="F104" s="25">
        <v>39409</v>
      </c>
      <c r="G104" s="25">
        <v>6</v>
      </c>
      <c r="H104" s="25">
        <v>1833</v>
      </c>
      <c r="I104" s="25">
        <v>19871</v>
      </c>
      <c r="J104" s="25"/>
      <c r="K104" s="25"/>
      <c r="L104" s="25"/>
      <c r="M104" s="25"/>
      <c r="N104" s="25"/>
      <c r="O104" s="25"/>
    </row>
    <row r="105" spans="1:15" x14ac:dyDescent="0.25">
      <c r="A105" s="25" t="s">
        <v>235</v>
      </c>
      <c r="B105" s="25">
        <v>3690</v>
      </c>
      <c r="C105" s="25">
        <v>14.9</v>
      </c>
      <c r="D105" s="25">
        <v>1755</v>
      </c>
      <c r="E105" s="25">
        <v>309</v>
      </c>
      <c r="F105" s="25">
        <v>22</v>
      </c>
      <c r="G105" s="25">
        <v>185</v>
      </c>
      <c r="H105" s="25"/>
      <c r="I105" s="25"/>
      <c r="J105" s="25"/>
      <c r="K105" s="25"/>
      <c r="L105" s="25"/>
      <c r="M105" s="25"/>
      <c r="N105" s="25"/>
      <c r="O105" s="25"/>
    </row>
    <row r="106" spans="1:15" x14ac:dyDescent="0.25">
      <c r="A106" s="25" t="s">
        <v>457</v>
      </c>
      <c r="B106" s="25">
        <v>39765</v>
      </c>
      <c r="C106" s="25">
        <v>37706</v>
      </c>
      <c r="D106" s="25">
        <v>1285</v>
      </c>
      <c r="E106" s="25">
        <v>1086</v>
      </c>
      <c r="F106" s="25">
        <v>4.5</v>
      </c>
      <c r="G106" s="25">
        <v>17.8</v>
      </c>
      <c r="H106" s="25">
        <v>3.7</v>
      </c>
      <c r="I106" s="25">
        <v>234</v>
      </c>
      <c r="J106" s="25"/>
      <c r="K106" s="25"/>
      <c r="L106" s="25"/>
      <c r="M106" s="25"/>
      <c r="N106" s="25"/>
      <c r="O106" s="25"/>
    </row>
    <row r="107" spans="1:15" x14ac:dyDescent="0.25">
      <c r="A107" s="25" t="s">
        <v>428</v>
      </c>
      <c r="B107" s="25">
        <v>11609</v>
      </c>
      <c r="C107" s="25">
        <v>3.15</v>
      </c>
      <c r="D107" s="25">
        <v>2504</v>
      </c>
      <c r="E107" s="25">
        <v>0.68</v>
      </c>
      <c r="F107" s="25">
        <v>32.1</v>
      </c>
      <c r="G107" s="25"/>
      <c r="H107" s="25"/>
      <c r="I107" s="25"/>
      <c r="J107" s="25"/>
      <c r="K107" s="25"/>
      <c r="L107" s="25"/>
      <c r="M107" s="25"/>
      <c r="N107" s="25"/>
      <c r="O107" s="25"/>
    </row>
    <row r="108" spans="1:15" x14ac:dyDescent="0.25">
      <c r="A108" s="25" t="s">
        <v>458</v>
      </c>
      <c r="B108" s="25"/>
      <c r="C108" s="25"/>
      <c r="D108" s="25"/>
      <c r="E108" s="25"/>
      <c r="F108" s="25"/>
      <c r="G108" s="25"/>
      <c r="H108" s="25"/>
      <c r="I108" s="25"/>
      <c r="J108" s="25"/>
      <c r="K108" s="25"/>
      <c r="L108" s="25"/>
      <c r="M108" s="25"/>
      <c r="N108" s="25"/>
      <c r="O108" s="25"/>
    </row>
    <row r="109" spans="1:15" x14ac:dyDescent="0.25">
      <c r="A109" s="25" t="s">
        <v>459</v>
      </c>
      <c r="B109" s="25">
        <v>462</v>
      </c>
      <c r="C109" s="25">
        <v>92</v>
      </c>
      <c r="D109" s="25">
        <v>81</v>
      </c>
      <c r="E109" s="25">
        <v>28</v>
      </c>
      <c r="F109" s="25">
        <v>15</v>
      </c>
      <c r="G109" s="25">
        <v>9</v>
      </c>
      <c r="H109" s="25">
        <v>260</v>
      </c>
      <c r="I109" s="25"/>
      <c r="J109" s="25"/>
      <c r="K109" s="25"/>
      <c r="L109" s="25"/>
      <c r="M109" s="25"/>
      <c r="N109" s="25"/>
      <c r="O109" s="25"/>
    </row>
    <row r="110" spans="1:15" x14ac:dyDescent="0.25">
      <c r="A110" s="25" t="s">
        <v>25</v>
      </c>
      <c r="B110" s="25">
        <v>8619</v>
      </c>
      <c r="C110" s="25">
        <v>62.6</v>
      </c>
      <c r="D110" s="25">
        <v>1.73</v>
      </c>
      <c r="E110" s="25">
        <v>8.1999999999999993</v>
      </c>
      <c r="F110" s="25">
        <v>2923</v>
      </c>
      <c r="G110" s="25">
        <v>23</v>
      </c>
      <c r="H110" s="25">
        <v>0</v>
      </c>
      <c r="I110" s="25">
        <v>27</v>
      </c>
      <c r="J110" s="25">
        <v>25</v>
      </c>
      <c r="K110" s="25">
        <v>23</v>
      </c>
      <c r="L110" s="25">
        <v>23</v>
      </c>
      <c r="M110" s="25">
        <v>21</v>
      </c>
      <c r="N110" s="25">
        <v>12</v>
      </c>
      <c r="O110" s="25"/>
    </row>
    <row r="111" spans="1:15" x14ac:dyDescent="0.25">
      <c r="A111" s="25" t="s">
        <v>460</v>
      </c>
      <c r="B111" s="25">
        <v>161</v>
      </c>
      <c r="C111" s="25">
        <v>721</v>
      </c>
      <c r="D111" s="25">
        <v>278</v>
      </c>
      <c r="E111" s="25">
        <v>274</v>
      </c>
      <c r="F111" s="25">
        <v>70.3</v>
      </c>
      <c r="G111" s="25">
        <v>96.1</v>
      </c>
      <c r="H111" s="25">
        <v>1205</v>
      </c>
      <c r="I111" s="25">
        <v>96.9</v>
      </c>
      <c r="J111" s="25">
        <v>212</v>
      </c>
      <c r="K111" s="25">
        <v>202</v>
      </c>
      <c r="L111" s="25"/>
      <c r="M111" s="25"/>
      <c r="N111" s="25"/>
      <c r="O111" s="25"/>
    </row>
    <row r="112" spans="1:15" x14ac:dyDescent="0.25">
      <c r="A112" s="25" t="s">
        <v>227</v>
      </c>
      <c r="B112" s="25">
        <v>1920</v>
      </c>
      <c r="C112" s="25">
        <v>7.79</v>
      </c>
      <c r="D112" s="25">
        <v>3209</v>
      </c>
      <c r="E112" s="25">
        <v>261</v>
      </c>
      <c r="F112" s="25"/>
      <c r="G112" s="25"/>
      <c r="H112" s="25"/>
      <c r="I112" s="25"/>
      <c r="J112" s="25"/>
      <c r="K112" s="25"/>
      <c r="L112" s="25"/>
      <c r="M112" s="25"/>
      <c r="N112" s="25"/>
      <c r="O112" s="25"/>
    </row>
    <row r="113" spans="1:15" x14ac:dyDescent="0.25">
      <c r="A113" s="25" t="s">
        <v>461</v>
      </c>
      <c r="B113" s="25">
        <v>2121</v>
      </c>
      <c r="C113" s="25">
        <v>4881</v>
      </c>
      <c r="D113" s="25">
        <v>19.8</v>
      </c>
      <c r="E113" s="25">
        <v>9</v>
      </c>
      <c r="F113" s="25">
        <v>396</v>
      </c>
      <c r="G113" s="25">
        <v>4</v>
      </c>
      <c r="H113" s="25">
        <v>262</v>
      </c>
      <c r="I113" s="25">
        <v>899</v>
      </c>
      <c r="J113" s="25">
        <v>7319</v>
      </c>
      <c r="K113" s="25">
        <v>30.3</v>
      </c>
      <c r="L113" s="25">
        <v>108</v>
      </c>
      <c r="M113" s="25">
        <v>193</v>
      </c>
      <c r="N113" s="25">
        <v>6022</v>
      </c>
      <c r="O113" s="25"/>
    </row>
    <row r="114" spans="1:15" x14ac:dyDescent="0.25">
      <c r="A114" s="25" t="s">
        <v>434</v>
      </c>
      <c r="B114" s="25">
        <v>47</v>
      </c>
      <c r="C114" s="25">
        <v>11.3</v>
      </c>
      <c r="D114" s="25">
        <v>31</v>
      </c>
      <c r="E114" s="25">
        <v>7.3</v>
      </c>
      <c r="F114" s="25">
        <v>2491</v>
      </c>
      <c r="G114" s="25">
        <v>22151</v>
      </c>
      <c r="H114" s="25"/>
      <c r="I114" s="25"/>
      <c r="J114" s="25"/>
      <c r="K114" s="25"/>
      <c r="L114" s="25"/>
      <c r="M114" s="25"/>
      <c r="N114" s="25"/>
      <c r="O114" s="25"/>
    </row>
    <row r="115" spans="1:15" x14ac:dyDescent="0.25">
      <c r="A115" s="25" t="s">
        <v>228</v>
      </c>
      <c r="B115" s="25">
        <v>2277</v>
      </c>
      <c r="C115" s="25">
        <v>311</v>
      </c>
      <c r="D115" s="25">
        <v>1864</v>
      </c>
      <c r="E115" s="25">
        <v>1392</v>
      </c>
      <c r="F115" s="25">
        <v>1851</v>
      </c>
      <c r="G115" s="25">
        <v>73</v>
      </c>
      <c r="H115" s="25">
        <v>1.41</v>
      </c>
      <c r="I115" s="25">
        <v>31.2</v>
      </c>
      <c r="J115" s="25">
        <v>27.8</v>
      </c>
      <c r="K115" s="25">
        <v>2803</v>
      </c>
      <c r="L115" s="25">
        <v>91.2</v>
      </c>
      <c r="M115" s="25"/>
      <c r="N115" s="25"/>
      <c r="O115" s="25"/>
    </row>
    <row r="116" spans="1:15" x14ac:dyDescent="0.25">
      <c r="A116" s="25" t="s">
        <v>230</v>
      </c>
      <c r="B116" s="25">
        <v>99.99</v>
      </c>
      <c r="C116" s="25">
        <v>99.99</v>
      </c>
      <c r="D116" s="25">
        <v>99.99</v>
      </c>
      <c r="E116" s="25">
        <v>49.6</v>
      </c>
      <c r="F116" s="25">
        <v>62.8</v>
      </c>
      <c r="G116" s="25">
        <v>86</v>
      </c>
      <c r="H116" s="25"/>
      <c r="I116" s="25"/>
      <c r="J116" s="25"/>
      <c r="K116" s="25"/>
      <c r="L116" s="25"/>
      <c r="M116" s="25"/>
      <c r="N116" s="25"/>
      <c r="O116" s="25"/>
    </row>
    <row r="117" spans="1:15" x14ac:dyDescent="0.25">
      <c r="A117" s="25" t="s">
        <v>7</v>
      </c>
      <c r="B117" s="25">
        <v>76.099999999999994</v>
      </c>
      <c r="C117" s="25">
        <v>13.9</v>
      </c>
      <c r="D117" s="25">
        <v>2032</v>
      </c>
      <c r="E117" s="25">
        <v>5.6</v>
      </c>
      <c r="F117" s="25">
        <v>2036</v>
      </c>
      <c r="G117" s="25">
        <v>67.3</v>
      </c>
      <c r="H117" s="25"/>
      <c r="I117" s="25"/>
      <c r="J117" s="25"/>
      <c r="K117" s="25"/>
      <c r="L117" s="25"/>
      <c r="M117" s="25"/>
      <c r="N117" s="25"/>
      <c r="O117" s="25"/>
    </row>
    <row r="118" spans="1:15" x14ac:dyDescent="0.25">
      <c r="A118" s="25" t="s">
        <v>8</v>
      </c>
      <c r="B118" s="25">
        <v>186490</v>
      </c>
      <c r="C118" s="25">
        <v>98472</v>
      </c>
      <c r="D118" s="25">
        <v>6174</v>
      </c>
      <c r="E118" s="25">
        <v>25701</v>
      </c>
      <c r="F118" s="25">
        <v>150493</v>
      </c>
      <c r="G118" s="25">
        <v>38797</v>
      </c>
      <c r="H118" s="25">
        <v>2.64</v>
      </c>
      <c r="I118" s="25">
        <v>3.27</v>
      </c>
      <c r="J118" s="25">
        <v>6.31</v>
      </c>
      <c r="K118" s="25">
        <v>2794</v>
      </c>
      <c r="L118" s="25">
        <v>1250</v>
      </c>
      <c r="M118" s="25">
        <v>37</v>
      </c>
      <c r="N118" s="25">
        <v>0</v>
      </c>
      <c r="O118" s="25"/>
    </row>
    <row r="119" spans="1:15" x14ac:dyDescent="0.25">
      <c r="A119" s="25" t="s">
        <v>462</v>
      </c>
      <c r="B119" s="25">
        <v>22</v>
      </c>
      <c r="C119" s="25">
        <v>22</v>
      </c>
      <c r="D119" s="25">
        <v>22</v>
      </c>
      <c r="E119" s="25">
        <v>21</v>
      </c>
      <c r="F119" s="25">
        <v>1</v>
      </c>
      <c r="G119" s="25">
        <v>5</v>
      </c>
      <c r="H119" s="25">
        <v>0</v>
      </c>
      <c r="I119" s="25">
        <v>469</v>
      </c>
      <c r="J119" s="25">
        <v>12</v>
      </c>
      <c r="K119" s="25">
        <v>12</v>
      </c>
      <c r="L119" s="25"/>
      <c r="M119" s="25"/>
      <c r="N119" s="25"/>
      <c r="O119" s="25"/>
    </row>
    <row r="120" spans="1:15" x14ac:dyDescent="0.25">
      <c r="A120" s="25" t="s">
        <v>463</v>
      </c>
      <c r="B120" s="25">
        <v>364</v>
      </c>
      <c r="C120" s="25">
        <v>3</v>
      </c>
      <c r="D120" s="25">
        <v>487</v>
      </c>
      <c r="E120" s="25">
        <v>34</v>
      </c>
      <c r="F120" s="25">
        <v>4207</v>
      </c>
      <c r="G120" s="25">
        <v>821</v>
      </c>
      <c r="H120" s="25">
        <v>3933</v>
      </c>
      <c r="I120" s="25">
        <v>97.9</v>
      </c>
      <c r="J120" s="25">
        <v>617</v>
      </c>
      <c r="K120" s="25">
        <v>98.3</v>
      </c>
      <c r="L120" s="25">
        <v>109</v>
      </c>
      <c r="M120" s="25"/>
      <c r="N120" s="25"/>
      <c r="O120" s="25"/>
    </row>
    <row r="121" spans="1:15" x14ac:dyDescent="0.25">
      <c r="A121" s="25" t="s">
        <v>9</v>
      </c>
      <c r="B121" s="25">
        <v>1632</v>
      </c>
      <c r="C121" s="25">
        <v>1529</v>
      </c>
      <c r="D121" s="25">
        <v>4934</v>
      </c>
      <c r="E121" s="25">
        <v>702</v>
      </c>
      <c r="F121" s="25">
        <v>6.6</v>
      </c>
      <c r="G121" s="25">
        <v>219690</v>
      </c>
      <c r="H121" s="25">
        <v>222193</v>
      </c>
      <c r="I121" s="25"/>
      <c r="J121" s="25"/>
      <c r="K121" s="25"/>
      <c r="L121" s="25"/>
      <c r="M121" s="25"/>
      <c r="N121" s="25"/>
      <c r="O121" s="25"/>
    </row>
    <row r="122" spans="1:15" x14ac:dyDescent="0.25">
      <c r="A122" s="25" t="s">
        <v>61</v>
      </c>
      <c r="B122" s="25">
        <v>80</v>
      </c>
      <c r="C122" s="25">
        <v>177</v>
      </c>
      <c r="D122" s="25">
        <v>51</v>
      </c>
      <c r="E122" s="25">
        <v>1052</v>
      </c>
      <c r="F122" s="25"/>
      <c r="G122" s="25"/>
      <c r="H122" s="25"/>
      <c r="I122" s="25"/>
      <c r="J122" s="25"/>
      <c r="K122" s="25"/>
      <c r="L122" s="25"/>
      <c r="M122" s="25"/>
      <c r="N122" s="25"/>
      <c r="O122" s="25"/>
    </row>
    <row r="123" spans="1:15" x14ac:dyDescent="0.25">
      <c r="A123" s="25" t="s">
        <v>233</v>
      </c>
      <c r="B123" s="25">
        <v>285806</v>
      </c>
      <c r="C123" s="25">
        <v>47491</v>
      </c>
      <c r="D123" s="25">
        <v>16268</v>
      </c>
      <c r="E123" s="25">
        <v>2.92</v>
      </c>
      <c r="F123" s="25">
        <v>0.16</v>
      </c>
      <c r="G123" s="25">
        <v>11.32</v>
      </c>
      <c r="H123" s="25">
        <v>1.94</v>
      </c>
      <c r="I123" s="25"/>
      <c r="J123" s="25"/>
      <c r="K123" s="25"/>
      <c r="L123" s="25"/>
      <c r="M123" s="25"/>
      <c r="N123" s="25"/>
      <c r="O123" s="25"/>
    </row>
    <row r="124" spans="1:15" x14ac:dyDescent="0.25">
      <c r="A124" s="25" t="s">
        <v>10</v>
      </c>
      <c r="B124" s="25">
        <v>12548</v>
      </c>
      <c r="C124" s="25">
        <v>52</v>
      </c>
      <c r="D124" s="25">
        <v>595</v>
      </c>
      <c r="E124" s="25">
        <v>39</v>
      </c>
      <c r="F124" s="25">
        <v>24.1</v>
      </c>
      <c r="G124" s="25">
        <v>4628</v>
      </c>
      <c r="H124" s="25">
        <v>1532</v>
      </c>
      <c r="I124" s="25">
        <v>1055</v>
      </c>
      <c r="J124" s="25">
        <v>20.5</v>
      </c>
      <c r="K124" s="25">
        <v>34.4</v>
      </c>
      <c r="L124" s="25"/>
      <c r="M124" s="25"/>
      <c r="N124" s="25"/>
      <c r="O124" s="25"/>
    </row>
    <row r="125" spans="1:15" x14ac:dyDescent="0.25">
      <c r="A125" s="25" t="s">
        <v>229</v>
      </c>
      <c r="B125" s="25">
        <v>3470</v>
      </c>
      <c r="C125" s="25">
        <v>1117</v>
      </c>
      <c r="D125" s="25">
        <v>1006</v>
      </c>
      <c r="E125" s="25">
        <v>510</v>
      </c>
      <c r="F125" s="25">
        <v>4.45</v>
      </c>
      <c r="G125" s="25">
        <v>22926</v>
      </c>
      <c r="H125" s="25">
        <v>93.5</v>
      </c>
      <c r="I125" s="25"/>
      <c r="J125" s="25"/>
      <c r="K125" s="25"/>
      <c r="L125" s="25"/>
      <c r="M125" s="25"/>
      <c r="N125" s="25"/>
      <c r="O125" s="25"/>
    </row>
    <row r="126" spans="1:15" x14ac:dyDescent="0.25">
      <c r="A126" s="25" t="s">
        <v>11</v>
      </c>
      <c r="B126" s="25">
        <v>936</v>
      </c>
      <c r="C126" s="25">
        <v>66.040000000000006</v>
      </c>
      <c r="D126" s="25">
        <v>2.1</v>
      </c>
      <c r="E126" s="25">
        <v>23.2</v>
      </c>
      <c r="F126" s="25">
        <v>47271</v>
      </c>
      <c r="G126" s="25">
        <v>193</v>
      </c>
      <c r="H126" s="25">
        <v>97.5</v>
      </c>
      <c r="I126" s="25">
        <v>89.5</v>
      </c>
      <c r="J126" s="25">
        <v>84.8</v>
      </c>
      <c r="K126" s="25">
        <v>97.7</v>
      </c>
      <c r="L126" s="25">
        <v>156</v>
      </c>
      <c r="M126" s="25"/>
      <c r="N126" s="25"/>
      <c r="O126" s="25"/>
    </row>
    <row r="127" spans="1:15" x14ac:dyDescent="0.25">
      <c r="A127" s="25" t="s">
        <v>12</v>
      </c>
      <c r="B127" s="25">
        <v>1</v>
      </c>
      <c r="C127" s="25">
        <v>560</v>
      </c>
      <c r="D127" s="25">
        <v>0</v>
      </c>
      <c r="E127" s="25">
        <v>95.5</v>
      </c>
      <c r="F127" s="25">
        <v>14.1</v>
      </c>
      <c r="G127" s="25">
        <v>0</v>
      </c>
      <c r="H127" s="25"/>
      <c r="I127" s="25"/>
      <c r="J127" s="25"/>
      <c r="K127" s="25"/>
      <c r="L127" s="25"/>
      <c r="M127" s="25"/>
      <c r="N127" s="25"/>
      <c r="O127" s="25"/>
    </row>
    <row r="128" spans="1:15" x14ac:dyDescent="0.25">
      <c r="A128" s="25" t="s">
        <v>13</v>
      </c>
      <c r="B128" s="25">
        <v>3966</v>
      </c>
      <c r="C128" s="25">
        <v>5186</v>
      </c>
      <c r="D128" s="25">
        <v>95.99</v>
      </c>
      <c r="E128" s="25">
        <v>91.18</v>
      </c>
      <c r="F128" s="25">
        <v>95.71</v>
      </c>
      <c r="G128" s="25">
        <v>0</v>
      </c>
      <c r="H128" s="25">
        <v>212087</v>
      </c>
      <c r="I128" s="25">
        <v>0</v>
      </c>
      <c r="J128" s="25">
        <v>245</v>
      </c>
      <c r="K128" s="25"/>
      <c r="L128" s="25"/>
      <c r="M128" s="25"/>
      <c r="N128" s="25"/>
      <c r="O128" s="25"/>
    </row>
    <row r="129" spans="1:15" x14ac:dyDescent="0.25">
      <c r="A129" s="25" t="s">
        <v>464</v>
      </c>
      <c r="B129" s="25">
        <v>2716</v>
      </c>
      <c r="C129" s="25">
        <v>1274</v>
      </c>
      <c r="D129" s="25">
        <v>3990</v>
      </c>
      <c r="E129" s="25">
        <v>16.100000000000001</v>
      </c>
      <c r="F129" s="25">
        <v>81</v>
      </c>
      <c r="G129" s="25">
        <v>1112321</v>
      </c>
      <c r="H129" s="25">
        <v>111298</v>
      </c>
      <c r="I129" s="25">
        <v>0</v>
      </c>
      <c r="J129" s="25"/>
      <c r="K129" s="25"/>
      <c r="L129" s="25"/>
      <c r="M129" s="25"/>
      <c r="N129" s="25"/>
      <c r="O129" s="25"/>
    </row>
    <row r="130" spans="1:15" x14ac:dyDescent="0.25">
      <c r="A130" s="25" t="s">
        <v>14</v>
      </c>
      <c r="B130" s="25">
        <v>9084</v>
      </c>
      <c r="C130" s="25">
        <v>2113</v>
      </c>
      <c r="D130" s="25">
        <v>6.1</v>
      </c>
      <c r="E130" s="25">
        <v>6512</v>
      </c>
      <c r="F130" s="25"/>
      <c r="G130" s="25"/>
      <c r="H130" s="25"/>
      <c r="I130" s="25"/>
      <c r="J130" s="25"/>
      <c r="K130" s="25"/>
      <c r="L130" s="25"/>
      <c r="M130" s="25"/>
      <c r="N130" s="25"/>
      <c r="O130" s="25"/>
    </row>
    <row r="131" spans="1:15" x14ac:dyDescent="0.25">
      <c r="A131" s="25" t="s">
        <v>232</v>
      </c>
      <c r="B131" s="25">
        <v>55957</v>
      </c>
      <c r="C131" s="25">
        <v>7732</v>
      </c>
      <c r="D131" s="25">
        <v>2585</v>
      </c>
      <c r="E131" s="25">
        <v>10.5</v>
      </c>
      <c r="F131" s="25">
        <v>10.1</v>
      </c>
      <c r="G131" s="25">
        <v>1.4</v>
      </c>
      <c r="H131" s="25">
        <v>403.8</v>
      </c>
      <c r="I131" s="25">
        <v>304.60000000000002</v>
      </c>
      <c r="J131" s="25">
        <v>24.8</v>
      </c>
      <c r="K131" s="25"/>
      <c r="L131" s="25"/>
      <c r="M131" s="25"/>
      <c r="N131" s="25"/>
      <c r="O131" s="25"/>
    </row>
    <row r="132" spans="1:15" x14ac:dyDescent="0.25">
      <c r="A132" s="40">
        <v>911</v>
      </c>
      <c r="B132" s="25">
        <v>115869</v>
      </c>
      <c r="C132" s="25">
        <v>3.33</v>
      </c>
      <c r="D132" s="25">
        <v>1</v>
      </c>
      <c r="E132" s="25">
        <v>2.67</v>
      </c>
      <c r="F132" s="25">
        <v>4.41</v>
      </c>
      <c r="G132" s="25">
        <v>94.12</v>
      </c>
      <c r="H132" s="25"/>
      <c r="I132" s="25"/>
      <c r="J132" s="25"/>
      <c r="K132" s="25"/>
      <c r="L132" s="25"/>
      <c r="M132" s="25"/>
      <c r="N132" s="25"/>
      <c r="O132" s="25"/>
    </row>
    <row r="133" spans="1:15" x14ac:dyDescent="0.25">
      <c r="A133" s="25" t="s">
        <v>496</v>
      </c>
      <c r="B133" s="25">
        <v>21</v>
      </c>
      <c r="C133" s="25">
        <v>44</v>
      </c>
      <c r="D133" s="25">
        <v>26</v>
      </c>
      <c r="E133" s="25">
        <v>29</v>
      </c>
      <c r="F133" s="25">
        <v>38</v>
      </c>
      <c r="G133" s="25">
        <v>6</v>
      </c>
      <c r="H133" s="25">
        <v>122</v>
      </c>
      <c r="I133" s="25"/>
      <c r="J133" s="25"/>
      <c r="K133" s="25"/>
      <c r="L133" s="25"/>
      <c r="M133" s="25"/>
      <c r="N133" s="25"/>
      <c r="O133" s="25"/>
    </row>
    <row r="134" spans="1:15" x14ac:dyDescent="0.25">
      <c r="A134" s="25"/>
      <c r="B134" s="25"/>
      <c r="C134" s="25"/>
      <c r="D134" s="25"/>
      <c r="E134" s="25"/>
      <c r="F134" s="25"/>
      <c r="G134" s="25"/>
      <c r="H134" s="25"/>
      <c r="I134" s="25"/>
      <c r="J134" s="25"/>
      <c r="K134" s="25"/>
      <c r="L134" s="25"/>
      <c r="M134" s="25"/>
      <c r="N134" s="25"/>
      <c r="O134" s="25"/>
    </row>
    <row r="135" spans="1:15" x14ac:dyDescent="0.25">
      <c r="A135" s="25"/>
      <c r="B135" s="25">
        <f>AVERAGE(B114,B80,B47,B14)</f>
        <v>41.75</v>
      </c>
      <c r="C135" s="25">
        <f t="shared" ref="C135:G135" si="1">AVERAGE(C114,C80,C47,C14)</f>
        <v>9.7624999999999993</v>
      </c>
      <c r="D135" s="25">
        <f t="shared" si="1"/>
        <v>28.5</v>
      </c>
      <c r="E135" s="25">
        <f t="shared" si="1"/>
        <v>6.4450000000000003</v>
      </c>
      <c r="F135" s="25">
        <f t="shared" si="1"/>
        <v>3156.5</v>
      </c>
      <c r="G135" s="25">
        <f t="shared" si="1"/>
        <v>24761.5</v>
      </c>
      <c r="H135" s="25"/>
      <c r="I135" s="25"/>
      <c r="J135" s="25"/>
      <c r="K135" s="25"/>
      <c r="L135" s="25"/>
      <c r="M135" s="25"/>
      <c r="N135" s="25"/>
      <c r="O135" s="25"/>
    </row>
    <row r="136" spans="1:15" x14ac:dyDescent="0.25">
      <c r="A136" s="25"/>
      <c r="B136" s="25"/>
      <c r="C136" s="25"/>
      <c r="D136" s="25"/>
      <c r="E136" s="25"/>
      <c r="F136" s="25"/>
      <c r="G136" s="25"/>
      <c r="H136" s="25"/>
      <c r="I136" s="25"/>
      <c r="J136" s="25"/>
      <c r="K136" s="25"/>
      <c r="L136" s="25"/>
      <c r="M136" s="25"/>
      <c r="N136" s="25"/>
      <c r="O136" s="25"/>
    </row>
    <row r="137" spans="1:15" x14ac:dyDescent="0.25">
      <c r="A137" s="25"/>
      <c r="B137" s="25"/>
      <c r="C137" s="25"/>
      <c r="D137" s="25"/>
      <c r="E137" s="25"/>
      <c r="F137" s="25"/>
      <c r="G137" s="25"/>
      <c r="H137" s="25"/>
      <c r="I137" s="25"/>
      <c r="J137" s="25"/>
      <c r="K137" s="25"/>
      <c r="L137" s="25"/>
      <c r="M137" s="25"/>
      <c r="N137" s="25"/>
      <c r="O137" s="25"/>
    </row>
    <row r="138" spans="1:15" x14ac:dyDescent="0.25">
      <c r="A138" s="25"/>
      <c r="B138" s="25"/>
      <c r="C138" s="25"/>
      <c r="D138" s="25"/>
      <c r="E138" s="25"/>
      <c r="F138" s="25"/>
      <c r="G138" s="25"/>
      <c r="H138" s="25"/>
      <c r="I138" s="25"/>
      <c r="J138" s="25"/>
      <c r="K138" s="25"/>
      <c r="L138" s="25"/>
      <c r="M138" s="25"/>
      <c r="N138" s="25"/>
      <c r="O138" s="25"/>
    </row>
    <row r="139" spans="1:15" x14ac:dyDescent="0.25">
      <c r="A139" s="25"/>
      <c r="B139" s="25"/>
      <c r="C139" s="25"/>
      <c r="D139" s="25"/>
      <c r="E139" s="25"/>
      <c r="F139" s="25"/>
      <c r="G139" s="25"/>
      <c r="H139" s="25"/>
      <c r="I139" s="25"/>
      <c r="J139" s="25"/>
      <c r="K139" s="25"/>
      <c r="L139" s="25"/>
      <c r="M139" s="25"/>
      <c r="N139" s="25"/>
      <c r="O139" s="25"/>
    </row>
    <row r="140" spans="1:15" x14ac:dyDescent="0.25">
      <c r="A140" s="25"/>
      <c r="B140" s="25"/>
      <c r="C140" s="25"/>
      <c r="D140" s="25"/>
      <c r="E140" s="25"/>
      <c r="F140" s="25"/>
      <c r="G140" s="25"/>
      <c r="H140" s="25"/>
      <c r="I140" s="25"/>
      <c r="J140" s="25"/>
      <c r="K140" s="25"/>
      <c r="L140" s="25"/>
      <c r="M140" s="25"/>
      <c r="N140" s="25"/>
      <c r="O140" s="25"/>
    </row>
    <row r="141" spans="1:15" x14ac:dyDescent="0.25">
      <c r="A141" s="25"/>
      <c r="B141" s="25"/>
      <c r="C141" s="25"/>
      <c r="D141" s="25"/>
      <c r="E141" s="25"/>
      <c r="F141" s="25"/>
      <c r="G141" s="25"/>
      <c r="H141" s="25"/>
      <c r="I141" s="25"/>
      <c r="J141" s="25"/>
      <c r="K141" s="25"/>
      <c r="L141" s="25"/>
      <c r="M141" s="25"/>
      <c r="N141" s="25"/>
      <c r="O141" s="25"/>
    </row>
    <row r="142" spans="1:15" x14ac:dyDescent="0.25">
      <c r="A142" s="25"/>
      <c r="B142" s="25"/>
      <c r="C142" s="25"/>
      <c r="D142" s="25"/>
      <c r="E142" s="25"/>
      <c r="F142" s="25"/>
      <c r="G142" s="25"/>
      <c r="H142" s="25"/>
      <c r="I142" s="25"/>
      <c r="J142" s="25"/>
      <c r="K142" s="25"/>
      <c r="L142" s="25"/>
      <c r="M142" s="25"/>
      <c r="N142" s="25"/>
      <c r="O142" s="25"/>
    </row>
    <row r="143" spans="1:15" x14ac:dyDescent="0.25">
      <c r="A143" s="25"/>
      <c r="B143" s="25"/>
      <c r="C143" s="25"/>
      <c r="D143" s="25"/>
      <c r="E143" s="25"/>
      <c r="F143" s="25"/>
      <c r="G143" s="25"/>
      <c r="H143" s="25"/>
      <c r="I143" s="25"/>
      <c r="J143" s="25"/>
      <c r="K143" s="25"/>
      <c r="L143" s="25"/>
      <c r="M143" s="25"/>
      <c r="N143" s="25"/>
      <c r="O143" s="25"/>
    </row>
    <row r="144" spans="1:15" x14ac:dyDescent="0.25">
      <c r="A144" s="25"/>
      <c r="B144" s="25"/>
      <c r="C144" s="25"/>
      <c r="D144" s="25"/>
      <c r="E144" s="25"/>
      <c r="F144" s="25"/>
      <c r="G144" s="25"/>
      <c r="H144" s="25"/>
      <c r="I144" s="25"/>
      <c r="J144" s="25"/>
      <c r="K144" s="25"/>
      <c r="L144" s="25"/>
      <c r="M144" s="25"/>
      <c r="N144" s="25"/>
      <c r="O144" s="25"/>
    </row>
    <row r="145" spans="1:15" x14ac:dyDescent="0.25">
      <c r="A145" s="25"/>
      <c r="B145" s="25"/>
      <c r="C145" s="25"/>
      <c r="D145" s="25"/>
      <c r="E145" s="25"/>
      <c r="F145" s="25"/>
      <c r="G145" s="25"/>
      <c r="H145" s="25"/>
      <c r="I145" s="25"/>
      <c r="J145" s="25"/>
      <c r="K145" s="25"/>
      <c r="L145" s="25"/>
      <c r="M145" s="25"/>
      <c r="N145" s="25"/>
      <c r="O145" s="25"/>
    </row>
    <row r="146" spans="1:15" x14ac:dyDescent="0.25">
      <c r="A146" s="25"/>
      <c r="B146" s="25"/>
      <c r="C146" s="25"/>
      <c r="D146" s="25"/>
      <c r="E146" s="25"/>
      <c r="F146" s="25"/>
      <c r="G146" s="25"/>
      <c r="H146" s="25"/>
      <c r="I146" s="25"/>
      <c r="J146" s="25"/>
      <c r="K146" s="25"/>
      <c r="L146" s="25"/>
      <c r="M146" s="25"/>
      <c r="N146" s="25"/>
      <c r="O146" s="25"/>
    </row>
    <row r="147" spans="1:15" x14ac:dyDescent="0.25">
      <c r="A147" s="25"/>
      <c r="B147" s="25"/>
      <c r="C147" s="25"/>
      <c r="D147" s="25"/>
      <c r="E147" s="25"/>
      <c r="F147" s="25"/>
      <c r="G147" s="25"/>
      <c r="H147" s="25"/>
      <c r="I147" s="25"/>
      <c r="J147" s="25"/>
      <c r="K147" s="25"/>
      <c r="L147" s="25"/>
      <c r="M147" s="25"/>
      <c r="N147" s="25"/>
      <c r="O147" s="25"/>
    </row>
    <row r="148" spans="1:15" x14ac:dyDescent="0.25">
      <c r="A148" s="25"/>
      <c r="B148" s="25"/>
      <c r="C148" s="25"/>
      <c r="D148" s="25"/>
      <c r="E148" s="25"/>
      <c r="F148" s="25"/>
      <c r="G148" s="25"/>
      <c r="H148" s="25"/>
      <c r="I148" s="25"/>
      <c r="J148" s="25"/>
      <c r="K148" s="25"/>
      <c r="L148" s="25"/>
      <c r="M148" s="25"/>
      <c r="N148" s="25"/>
      <c r="O148" s="25"/>
    </row>
    <row r="149" spans="1:15" x14ac:dyDescent="0.25">
      <c r="A149" s="25"/>
      <c r="B149" s="25"/>
      <c r="C149" s="25"/>
      <c r="D149" s="25"/>
      <c r="E149" s="25"/>
      <c r="F149" s="25"/>
      <c r="G149" s="25"/>
      <c r="H149" s="25"/>
      <c r="I149" s="25"/>
      <c r="J149" s="25"/>
      <c r="K149" s="25"/>
      <c r="L149" s="25"/>
      <c r="M149" s="25"/>
      <c r="N149" s="25"/>
      <c r="O149" s="25"/>
    </row>
    <row r="150" spans="1:15" x14ac:dyDescent="0.25">
      <c r="A150" s="25"/>
      <c r="B150" s="25"/>
      <c r="C150" s="25"/>
      <c r="D150" s="25"/>
      <c r="E150" s="25"/>
      <c r="F150" s="25"/>
      <c r="G150" s="25"/>
      <c r="H150" s="25"/>
      <c r="I150" s="25"/>
      <c r="J150" s="25"/>
      <c r="K150" s="25"/>
      <c r="L150" s="25"/>
      <c r="M150" s="25"/>
      <c r="N150" s="25"/>
      <c r="O150" s="25"/>
    </row>
    <row r="151" spans="1:15" x14ac:dyDescent="0.25">
      <c r="A151" s="25"/>
      <c r="B151" s="25"/>
      <c r="C151" s="25"/>
      <c r="D151" s="25"/>
      <c r="E151" s="25"/>
      <c r="F151" s="25"/>
      <c r="G151" s="25"/>
      <c r="H151" s="25"/>
      <c r="I151" s="25"/>
      <c r="J151" s="25"/>
      <c r="K151" s="25"/>
      <c r="L151" s="25"/>
      <c r="M151" s="25"/>
      <c r="N151" s="25"/>
      <c r="O151" s="25"/>
    </row>
    <row r="152" spans="1:15" x14ac:dyDescent="0.25">
      <c r="A152" s="25"/>
      <c r="B152" s="25"/>
      <c r="C152" s="25"/>
      <c r="D152" s="25"/>
      <c r="E152" s="25"/>
      <c r="F152" s="25"/>
      <c r="G152" s="25"/>
      <c r="H152" s="25"/>
      <c r="I152" s="25"/>
      <c r="J152" s="25"/>
      <c r="K152" s="25"/>
      <c r="L152" s="25"/>
      <c r="M152" s="25"/>
      <c r="N152" s="25"/>
      <c r="O152" s="25"/>
    </row>
    <row r="153" spans="1:15" x14ac:dyDescent="0.25">
      <c r="A153" s="25"/>
      <c r="B153" s="25"/>
      <c r="C153" s="25"/>
      <c r="D153" s="25"/>
      <c r="E153" s="25"/>
      <c r="F153" s="25"/>
      <c r="G153" s="25"/>
      <c r="H153" s="25"/>
      <c r="I153" s="25"/>
      <c r="J153" s="25"/>
      <c r="K153" s="25"/>
      <c r="L153" s="25"/>
      <c r="M153" s="25"/>
      <c r="N153" s="25"/>
      <c r="O153" s="25"/>
    </row>
    <row r="154" spans="1:15" x14ac:dyDescent="0.25">
      <c r="A154" s="25"/>
      <c r="B154" s="25"/>
      <c r="C154" s="25"/>
      <c r="D154" s="25"/>
      <c r="E154" s="25"/>
      <c r="F154" s="25"/>
      <c r="G154" s="25"/>
      <c r="H154" s="25"/>
      <c r="I154" s="25"/>
      <c r="J154" s="25"/>
      <c r="K154" s="25"/>
      <c r="L154" s="25"/>
      <c r="M154" s="25"/>
      <c r="N154" s="25"/>
      <c r="O154" s="25"/>
    </row>
    <row r="155" spans="1:15" x14ac:dyDescent="0.25">
      <c r="A155" s="25"/>
      <c r="B155" s="25"/>
      <c r="C155" s="25"/>
      <c r="D155" s="25"/>
      <c r="E155" s="25"/>
      <c r="F155" s="25"/>
      <c r="G155" s="25"/>
      <c r="H155" s="25"/>
      <c r="I155" s="25"/>
      <c r="J155" s="25"/>
      <c r="K155" s="25"/>
      <c r="L155" s="25"/>
      <c r="M155" s="25"/>
      <c r="N155" s="25"/>
      <c r="O155" s="25"/>
    </row>
    <row r="156" spans="1:15" x14ac:dyDescent="0.25">
      <c r="A156" s="25"/>
      <c r="B156" s="25"/>
      <c r="C156" s="25"/>
      <c r="D156" s="25"/>
      <c r="E156" s="25"/>
      <c r="F156" s="25"/>
      <c r="G156" s="25"/>
      <c r="H156" s="25"/>
      <c r="I156" s="25"/>
      <c r="J156" s="25"/>
      <c r="K156" s="25"/>
      <c r="L156" s="25"/>
      <c r="M156" s="25"/>
      <c r="N156" s="25"/>
      <c r="O156" s="25"/>
    </row>
    <row r="157" spans="1:15" x14ac:dyDescent="0.25">
      <c r="A157" s="25"/>
      <c r="B157" s="25"/>
      <c r="C157" s="25"/>
      <c r="D157" s="25"/>
      <c r="E157" s="25"/>
      <c r="F157" s="25"/>
      <c r="G157" s="25"/>
      <c r="H157" s="25"/>
      <c r="I157" s="25"/>
      <c r="J157" s="25"/>
      <c r="K157" s="25"/>
      <c r="L157" s="25"/>
      <c r="M157" s="25"/>
      <c r="N157" s="25"/>
      <c r="O157" s="25"/>
    </row>
    <row r="158" spans="1:15" x14ac:dyDescent="0.25">
      <c r="A158" s="25"/>
      <c r="B158" s="25"/>
      <c r="C158" s="25"/>
      <c r="D158" s="25"/>
      <c r="E158" s="25"/>
      <c r="F158" s="25"/>
      <c r="G158" s="25"/>
      <c r="H158" s="25"/>
      <c r="I158" s="25"/>
      <c r="J158" s="25"/>
      <c r="K158" s="25"/>
      <c r="L158" s="25"/>
      <c r="M158" s="25"/>
      <c r="N158" s="25"/>
      <c r="O158" s="25"/>
    </row>
    <row r="159" spans="1:15" x14ac:dyDescent="0.25">
      <c r="A159" s="25"/>
      <c r="B159" s="25"/>
      <c r="C159" s="25"/>
      <c r="D159" s="25"/>
      <c r="E159" s="25"/>
      <c r="F159" s="25"/>
      <c r="G159" s="25"/>
      <c r="H159" s="25"/>
      <c r="I159" s="25"/>
      <c r="J159" s="25"/>
      <c r="K159" s="25"/>
      <c r="L159" s="25"/>
      <c r="M159" s="25"/>
      <c r="N159" s="25"/>
      <c r="O159" s="25"/>
    </row>
    <row r="160" spans="1:15" x14ac:dyDescent="0.25">
      <c r="A160" s="25"/>
      <c r="B160" s="25"/>
      <c r="C160" s="25"/>
      <c r="D160" s="25"/>
      <c r="E160" s="25"/>
      <c r="F160" s="25"/>
      <c r="G160" s="25"/>
      <c r="H160" s="25"/>
      <c r="I160" s="25"/>
      <c r="J160" s="25"/>
      <c r="K160" s="25"/>
      <c r="L160" s="25"/>
      <c r="M160" s="25"/>
      <c r="N160" s="25"/>
      <c r="O160" s="25"/>
    </row>
    <row r="161" spans="1:15" x14ac:dyDescent="0.25">
      <c r="A161" s="25"/>
      <c r="B161" s="25"/>
      <c r="C161" s="25"/>
      <c r="D161" s="25"/>
      <c r="E161" s="25"/>
      <c r="F161" s="25"/>
      <c r="G161" s="25"/>
      <c r="H161" s="25"/>
      <c r="I161" s="25"/>
      <c r="J161" s="25"/>
      <c r="K161" s="25"/>
      <c r="L161" s="25"/>
      <c r="M161" s="25"/>
      <c r="N161" s="25"/>
      <c r="O161" s="25"/>
    </row>
    <row r="162" spans="1:15" x14ac:dyDescent="0.25">
      <c r="A162" s="25"/>
      <c r="B162" s="25"/>
      <c r="C162" s="25"/>
      <c r="D162" s="25"/>
      <c r="E162" s="25"/>
      <c r="F162" s="25"/>
      <c r="G162" s="25"/>
      <c r="H162" s="25"/>
      <c r="I162" s="25"/>
      <c r="J162" s="25"/>
      <c r="K162" s="25"/>
      <c r="L162" s="25"/>
      <c r="M162" s="25"/>
      <c r="N162" s="25"/>
      <c r="O162" s="25"/>
    </row>
    <row r="163" spans="1:15" x14ac:dyDescent="0.25">
      <c r="A163" s="25"/>
      <c r="B163" s="25"/>
      <c r="C163" s="25"/>
      <c r="D163" s="25"/>
      <c r="E163" s="25"/>
      <c r="F163" s="25"/>
      <c r="G163" s="25"/>
      <c r="H163" s="25"/>
      <c r="I163" s="25"/>
      <c r="J163" s="25"/>
      <c r="K163" s="25"/>
      <c r="L163" s="25"/>
      <c r="M163" s="25"/>
      <c r="N163" s="25"/>
      <c r="O163" s="25"/>
    </row>
    <row r="164" spans="1:15" x14ac:dyDescent="0.25">
      <c r="A164" s="25"/>
      <c r="B164" s="25"/>
      <c r="C164" s="25"/>
      <c r="D164" s="25"/>
      <c r="E164" s="25"/>
      <c r="F164" s="25"/>
      <c r="G164" s="25"/>
      <c r="H164" s="25"/>
      <c r="I164" s="25"/>
      <c r="J164" s="25"/>
      <c r="K164" s="25"/>
      <c r="L164" s="25"/>
      <c r="M164" s="25"/>
      <c r="N164" s="25"/>
      <c r="O164" s="25"/>
    </row>
    <row r="165" spans="1:15" x14ac:dyDescent="0.25">
      <c r="A165" s="25"/>
      <c r="B165" s="25"/>
      <c r="C165" s="25"/>
      <c r="D165" s="25"/>
      <c r="E165" s="25"/>
      <c r="F165" s="25"/>
      <c r="G165" s="25"/>
      <c r="H165" s="25"/>
      <c r="I165" s="25"/>
      <c r="J165" s="25"/>
      <c r="K165" s="25"/>
      <c r="L165" s="25"/>
      <c r="M165" s="25"/>
      <c r="N165" s="25"/>
      <c r="O165" s="25"/>
    </row>
    <row r="166" spans="1:15" x14ac:dyDescent="0.25">
      <c r="A166" s="25"/>
      <c r="B166" s="25"/>
      <c r="C166" s="25"/>
      <c r="D166" s="25"/>
      <c r="E166" s="25"/>
      <c r="F166" s="25"/>
      <c r="G166" s="25"/>
      <c r="H166" s="25"/>
      <c r="I166" s="25"/>
      <c r="J166" s="25"/>
      <c r="K166" s="25"/>
      <c r="L166" s="25"/>
      <c r="M166" s="25"/>
      <c r="N166" s="25"/>
      <c r="O166" s="25"/>
    </row>
    <row r="167" spans="1:15" x14ac:dyDescent="0.25">
      <c r="A167" s="25"/>
      <c r="B167" s="25"/>
      <c r="C167" s="25"/>
      <c r="D167" s="25"/>
      <c r="E167" s="25"/>
      <c r="F167" s="25"/>
      <c r="G167" s="25"/>
      <c r="H167" s="25"/>
      <c r="I167" s="25"/>
      <c r="J167" s="25"/>
      <c r="K167" s="25"/>
      <c r="L167" s="25"/>
      <c r="M167" s="25"/>
      <c r="N167" s="25"/>
      <c r="O167" s="25"/>
    </row>
    <row r="168" spans="1:15" x14ac:dyDescent="0.25">
      <c r="A168" s="25"/>
      <c r="B168" s="25"/>
      <c r="C168" s="25"/>
      <c r="D168" s="25"/>
      <c r="E168" s="25"/>
      <c r="F168" s="25"/>
      <c r="G168" s="25"/>
      <c r="H168" s="25"/>
      <c r="I168" s="25"/>
      <c r="J168" s="25"/>
      <c r="K168" s="25"/>
      <c r="L168" s="25"/>
      <c r="M168" s="25"/>
      <c r="N168" s="25"/>
      <c r="O168" s="25"/>
    </row>
    <row r="169" spans="1:15" x14ac:dyDescent="0.25">
      <c r="A169" s="25"/>
      <c r="B169" s="25"/>
      <c r="C169" s="25"/>
      <c r="D169" s="25"/>
      <c r="E169" s="25"/>
      <c r="F169" s="25"/>
      <c r="G169" s="25"/>
      <c r="H169" s="25"/>
      <c r="I169" s="25"/>
      <c r="J169" s="25"/>
      <c r="K169" s="25"/>
      <c r="L169" s="25"/>
      <c r="M169" s="25"/>
      <c r="N169" s="25"/>
      <c r="O169" s="25"/>
    </row>
    <row r="170" spans="1:15" x14ac:dyDescent="0.25">
      <c r="A170" s="25"/>
      <c r="B170" s="25"/>
      <c r="C170" s="25"/>
      <c r="D170" s="25"/>
      <c r="E170" s="25"/>
      <c r="F170" s="25"/>
      <c r="G170" s="25"/>
      <c r="H170" s="25"/>
      <c r="I170" s="25"/>
      <c r="J170" s="25"/>
      <c r="K170" s="25"/>
      <c r="L170" s="25"/>
      <c r="M170" s="25"/>
      <c r="N170" s="25"/>
      <c r="O170" s="25"/>
    </row>
    <row r="171" spans="1:15" x14ac:dyDescent="0.25">
      <c r="A171" s="25"/>
      <c r="B171" s="25"/>
      <c r="C171" s="25"/>
      <c r="D171" s="25"/>
      <c r="E171" s="25"/>
      <c r="F171" s="25"/>
      <c r="G171" s="25"/>
      <c r="H171" s="25"/>
      <c r="I171" s="25"/>
      <c r="J171" s="25"/>
      <c r="K171" s="25"/>
      <c r="L171" s="25"/>
      <c r="M171" s="25"/>
      <c r="N171" s="25"/>
      <c r="O171" s="25"/>
    </row>
    <row r="172" spans="1:15" x14ac:dyDescent="0.25">
      <c r="A172" s="25"/>
      <c r="B172" s="25"/>
      <c r="C172" s="25"/>
      <c r="D172" s="25"/>
      <c r="E172" s="25"/>
      <c r="F172" s="25"/>
      <c r="G172" s="25"/>
      <c r="H172" s="25"/>
      <c r="I172" s="25"/>
      <c r="J172" s="25"/>
      <c r="K172" s="25"/>
      <c r="L172" s="25"/>
      <c r="M172" s="25"/>
      <c r="N172" s="25"/>
      <c r="O172" s="25"/>
    </row>
    <row r="173" spans="1:15" x14ac:dyDescent="0.25">
      <c r="A173" s="25"/>
      <c r="B173" s="25"/>
      <c r="C173" s="25"/>
      <c r="D173" s="25"/>
      <c r="E173" s="25"/>
      <c r="F173" s="25"/>
      <c r="G173" s="25"/>
      <c r="H173" s="25"/>
      <c r="I173" s="25"/>
      <c r="J173" s="25"/>
      <c r="K173" s="25"/>
      <c r="L173" s="25"/>
      <c r="M173" s="25"/>
      <c r="N173" s="25"/>
      <c r="O173" s="25"/>
    </row>
    <row r="174" spans="1:15" x14ac:dyDescent="0.25">
      <c r="A174" s="25"/>
      <c r="B174" s="25"/>
      <c r="C174" s="25"/>
      <c r="D174" s="25"/>
      <c r="E174" s="25"/>
      <c r="F174" s="25"/>
      <c r="G174" s="25"/>
      <c r="H174" s="25"/>
      <c r="I174" s="25"/>
      <c r="J174" s="25"/>
      <c r="K174" s="25"/>
      <c r="L174" s="25"/>
      <c r="M174" s="25"/>
      <c r="N174" s="25"/>
      <c r="O174" s="25"/>
    </row>
    <row r="175" spans="1:15" x14ac:dyDescent="0.25">
      <c r="A175" s="25"/>
      <c r="B175" s="25"/>
      <c r="C175" s="25"/>
      <c r="D175" s="25"/>
      <c r="E175" s="25"/>
      <c r="F175" s="25"/>
      <c r="G175" s="25"/>
      <c r="H175" s="25"/>
      <c r="I175" s="25"/>
      <c r="J175" s="25"/>
      <c r="K175" s="25"/>
      <c r="L175" s="25"/>
      <c r="M175" s="25"/>
      <c r="N175" s="25"/>
      <c r="O175" s="25"/>
    </row>
    <row r="176" spans="1:15" x14ac:dyDescent="0.25">
      <c r="A176" s="25"/>
      <c r="B176" s="25"/>
      <c r="C176" s="25"/>
      <c r="D176" s="25"/>
      <c r="E176" s="25"/>
      <c r="F176" s="25"/>
      <c r="G176" s="25"/>
      <c r="H176" s="25"/>
      <c r="I176" s="25"/>
      <c r="J176" s="25"/>
      <c r="K176" s="25"/>
      <c r="L176" s="25"/>
      <c r="M176" s="25"/>
      <c r="N176" s="25"/>
      <c r="O176" s="25"/>
    </row>
    <row r="177" spans="1:15" x14ac:dyDescent="0.25">
      <c r="A177" s="25"/>
      <c r="B177" s="25"/>
      <c r="C177" s="25"/>
      <c r="D177" s="25"/>
      <c r="E177" s="25"/>
      <c r="F177" s="25"/>
      <c r="G177" s="25"/>
      <c r="H177" s="25"/>
      <c r="I177" s="25"/>
      <c r="J177" s="25"/>
      <c r="K177" s="25"/>
      <c r="L177" s="25"/>
      <c r="M177" s="25"/>
      <c r="N177" s="25"/>
      <c r="O177" s="25"/>
    </row>
    <row r="178" spans="1:15" x14ac:dyDescent="0.25">
      <c r="A178" s="25"/>
      <c r="B178" s="25"/>
      <c r="C178" s="25"/>
      <c r="D178" s="25"/>
      <c r="E178" s="25"/>
      <c r="F178" s="25"/>
      <c r="G178" s="25"/>
      <c r="H178" s="25"/>
      <c r="I178" s="25"/>
      <c r="J178" s="25"/>
      <c r="K178" s="25"/>
      <c r="L178" s="25"/>
      <c r="M178" s="25"/>
      <c r="N178" s="25"/>
      <c r="O178" s="25"/>
    </row>
    <row r="179" spans="1:15" x14ac:dyDescent="0.25">
      <c r="A179" s="25"/>
      <c r="B179" s="25"/>
      <c r="C179" s="25"/>
      <c r="D179" s="25"/>
      <c r="E179" s="25"/>
      <c r="F179" s="25"/>
      <c r="G179" s="25"/>
      <c r="H179" s="25"/>
      <c r="I179" s="25"/>
      <c r="J179" s="25"/>
      <c r="K179" s="25"/>
      <c r="L179" s="25"/>
      <c r="M179" s="25"/>
      <c r="N179" s="25"/>
      <c r="O179" s="25"/>
    </row>
    <row r="180" spans="1:15" x14ac:dyDescent="0.25">
      <c r="A180" s="25"/>
      <c r="B180" s="25"/>
      <c r="C180" s="25"/>
      <c r="D180" s="25"/>
      <c r="E180" s="25"/>
      <c r="F180" s="25"/>
      <c r="G180" s="25"/>
      <c r="H180" s="25"/>
      <c r="I180" s="25"/>
      <c r="J180" s="25"/>
      <c r="K180" s="25"/>
      <c r="L180" s="25"/>
      <c r="M180" s="25"/>
      <c r="N180" s="25"/>
      <c r="O180" s="25"/>
    </row>
    <row r="181" spans="1:15" x14ac:dyDescent="0.25">
      <c r="A181" s="25"/>
      <c r="B181" s="25"/>
      <c r="C181" s="25"/>
      <c r="D181" s="25"/>
      <c r="E181" s="25"/>
      <c r="F181" s="25"/>
      <c r="G181" s="25"/>
      <c r="H181" s="25"/>
      <c r="I181" s="25"/>
      <c r="J181" s="25"/>
      <c r="K181" s="25"/>
      <c r="L181" s="25"/>
      <c r="M181" s="25"/>
      <c r="N181" s="25"/>
      <c r="O181" s="25"/>
    </row>
    <row r="182" spans="1:15" x14ac:dyDescent="0.25">
      <c r="A182" s="25"/>
      <c r="B182" s="25"/>
      <c r="C182" s="25"/>
      <c r="D182" s="25"/>
      <c r="E182" s="25"/>
      <c r="F182" s="25"/>
      <c r="G182" s="25"/>
      <c r="H182" s="25"/>
      <c r="I182" s="25"/>
      <c r="J182" s="25"/>
      <c r="K182" s="25"/>
      <c r="L182" s="25"/>
      <c r="M182" s="25"/>
      <c r="N182" s="25"/>
      <c r="O182" s="25"/>
    </row>
    <row r="183" spans="1:15" x14ac:dyDescent="0.25">
      <c r="A183" s="25"/>
      <c r="B183" s="25"/>
      <c r="C183" s="25"/>
      <c r="D183" s="25"/>
      <c r="E183" s="25"/>
      <c r="F183" s="25"/>
      <c r="G183" s="25"/>
      <c r="H183" s="25"/>
      <c r="I183" s="25"/>
      <c r="J183" s="25"/>
      <c r="K183" s="25"/>
      <c r="L183" s="25"/>
      <c r="M183" s="25"/>
      <c r="N183" s="25"/>
      <c r="O183" s="25"/>
    </row>
    <row r="184" spans="1:15" x14ac:dyDescent="0.25">
      <c r="A184" s="25"/>
      <c r="B184" s="25"/>
      <c r="C184" s="25"/>
      <c r="D184" s="25"/>
      <c r="E184" s="25"/>
      <c r="F184" s="25"/>
      <c r="G184" s="25"/>
      <c r="H184" s="25"/>
      <c r="I184" s="25"/>
      <c r="J184" s="25"/>
      <c r="K184" s="25"/>
      <c r="L184" s="25"/>
      <c r="M184" s="25"/>
      <c r="N184" s="25"/>
      <c r="O184" s="25"/>
    </row>
    <row r="185" spans="1:15" x14ac:dyDescent="0.25">
      <c r="A185" s="25"/>
      <c r="B185" s="25"/>
      <c r="C185" s="25"/>
      <c r="D185" s="25"/>
      <c r="E185" s="25"/>
      <c r="F185" s="25"/>
      <c r="G185" s="25"/>
      <c r="H185" s="25"/>
      <c r="I185" s="25"/>
      <c r="J185" s="25"/>
      <c r="K185" s="25"/>
      <c r="L185" s="25"/>
      <c r="M185" s="25"/>
      <c r="N185" s="25"/>
      <c r="O185" s="25"/>
    </row>
    <row r="186" spans="1:15" x14ac:dyDescent="0.25">
      <c r="A186" s="25"/>
      <c r="B186" s="25"/>
      <c r="C186" s="25"/>
      <c r="D186" s="25"/>
      <c r="E186" s="25"/>
      <c r="F186" s="25"/>
      <c r="G186" s="25"/>
      <c r="H186" s="25"/>
      <c r="I186" s="25"/>
      <c r="J186" s="25"/>
      <c r="K186" s="25"/>
      <c r="L186" s="25"/>
      <c r="M186" s="25"/>
      <c r="N186" s="25"/>
      <c r="O186" s="25"/>
    </row>
    <row r="187" spans="1:15" x14ac:dyDescent="0.25">
      <c r="A187" s="25"/>
      <c r="B187" s="25"/>
      <c r="C187" s="25"/>
      <c r="D187" s="25"/>
      <c r="E187" s="25"/>
      <c r="F187" s="25"/>
      <c r="G187" s="25"/>
      <c r="H187" s="25"/>
      <c r="I187" s="25"/>
      <c r="J187" s="25"/>
      <c r="K187" s="25"/>
      <c r="L187" s="25"/>
      <c r="M187" s="25"/>
      <c r="N187" s="25"/>
      <c r="O187" s="25"/>
    </row>
    <row r="188" spans="1:15" x14ac:dyDescent="0.25">
      <c r="A188" s="25"/>
      <c r="B188" s="25"/>
      <c r="C188" s="25"/>
      <c r="D188" s="25"/>
      <c r="E188" s="25"/>
      <c r="F188" s="25"/>
      <c r="G188" s="25"/>
      <c r="H188" s="25"/>
      <c r="I188" s="25"/>
      <c r="J188" s="25"/>
      <c r="K188" s="25"/>
      <c r="L188" s="25"/>
      <c r="M188" s="25"/>
      <c r="N188" s="25"/>
      <c r="O188" s="25"/>
    </row>
    <row r="189" spans="1:15" x14ac:dyDescent="0.25">
      <c r="A189" s="25"/>
      <c r="B189" s="25"/>
      <c r="C189" s="25"/>
      <c r="D189" s="25"/>
      <c r="E189" s="25"/>
      <c r="F189" s="25"/>
      <c r="G189" s="25"/>
      <c r="H189" s="25"/>
      <c r="I189" s="25"/>
      <c r="J189" s="25"/>
      <c r="K189" s="25"/>
      <c r="L189" s="25"/>
      <c r="M189" s="25"/>
      <c r="N189" s="25"/>
      <c r="O189" s="25"/>
    </row>
    <row r="190" spans="1:15" x14ac:dyDescent="0.25">
      <c r="A190" s="25"/>
      <c r="B190" s="25"/>
      <c r="C190" s="25"/>
      <c r="D190" s="25"/>
      <c r="E190" s="25"/>
      <c r="F190" s="25"/>
      <c r="G190" s="25"/>
      <c r="H190" s="25"/>
      <c r="I190" s="25"/>
      <c r="J190" s="25"/>
      <c r="K190" s="25"/>
      <c r="L190" s="25"/>
      <c r="M190" s="25"/>
      <c r="N190" s="25"/>
      <c r="O190" s="25"/>
    </row>
    <row r="191" spans="1:15" x14ac:dyDescent="0.25">
      <c r="A191" s="25"/>
      <c r="B191" s="25"/>
      <c r="C191" s="25"/>
      <c r="D191" s="25"/>
      <c r="E191" s="25"/>
      <c r="F191" s="25"/>
      <c r="G191" s="25"/>
      <c r="H191" s="25"/>
      <c r="I191" s="25"/>
      <c r="J191" s="25"/>
      <c r="K191" s="25"/>
      <c r="L191" s="25"/>
      <c r="M191" s="25"/>
      <c r="N191" s="25"/>
      <c r="O191" s="25"/>
    </row>
    <row r="192" spans="1:15" x14ac:dyDescent="0.25">
      <c r="A192" s="25"/>
      <c r="B192" s="25"/>
      <c r="C192" s="25"/>
      <c r="D192" s="25"/>
      <c r="E192" s="25"/>
      <c r="F192" s="25"/>
      <c r="G192" s="25"/>
      <c r="H192" s="25"/>
      <c r="I192" s="25"/>
      <c r="J192" s="25"/>
      <c r="K192" s="25"/>
      <c r="L192" s="25"/>
      <c r="M192" s="25"/>
      <c r="N192" s="25"/>
      <c r="O192" s="25"/>
    </row>
    <row r="193" spans="1:15" x14ac:dyDescent="0.25">
      <c r="A193" s="25"/>
      <c r="B193" s="25"/>
      <c r="C193" s="25"/>
      <c r="D193" s="25"/>
      <c r="E193" s="25"/>
      <c r="F193" s="25"/>
      <c r="G193" s="25"/>
      <c r="H193" s="25"/>
      <c r="I193" s="25"/>
      <c r="J193" s="25"/>
      <c r="K193" s="25"/>
      <c r="L193" s="25"/>
      <c r="M193" s="25"/>
      <c r="N193" s="25"/>
      <c r="O193" s="25"/>
    </row>
    <row r="194" spans="1:15" x14ac:dyDescent="0.25">
      <c r="A194" s="25"/>
      <c r="B194" s="25"/>
      <c r="C194" s="25"/>
      <c r="D194" s="25"/>
      <c r="E194" s="25"/>
      <c r="F194" s="25"/>
      <c r="G194" s="25"/>
      <c r="H194" s="25"/>
      <c r="I194" s="25"/>
      <c r="J194" s="25"/>
      <c r="K194" s="25"/>
      <c r="L194" s="25"/>
      <c r="M194" s="25"/>
      <c r="N194" s="25"/>
      <c r="O194" s="25"/>
    </row>
    <row r="195" spans="1:15" x14ac:dyDescent="0.25">
      <c r="A195" s="25"/>
      <c r="B195" s="25"/>
      <c r="C195" s="25"/>
      <c r="D195" s="25"/>
      <c r="E195" s="25"/>
      <c r="F195" s="25"/>
      <c r="G195" s="25"/>
      <c r="H195" s="25"/>
      <c r="I195" s="25"/>
      <c r="J195" s="25"/>
      <c r="K195" s="25"/>
      <c r="L195" s="25"/>
      <c r="M195" s="25"/>
      <c r="N195" s="25"/>
      <c r="O195" s="25"/>
    </row>
    <row r="196" spans="1:15" x14ac:dyDescent="0.25">
      <c r="A196" s="25"/>
      <c r="B196" s="25"/>
      <c r="C196" s="25"/>
      <c r="D196" s="25"/>
      <c r="E196" s="25"/>
      <c r="F196" s="25"/>
      <c r="G196" s="25"/>
      <c r="H196" s="25"/>
      <c r="I196" s="25"/>
      <c r="J196" s="25"/>
      <c r="K196" s="25"/>
      <c r="L196" s="25"/>
      <c r="M196" s="25"/>
      <c r="N196" s="25"/>
      <c r="O196" s="25"/>
    </row>
    <row r="197" spans="1:15" x14ac:dyDescent="0.25">
      <c r="A197" s="25"/>
      <c r="B197" s="25"/>
      <c r="C197" s="25"/>
      <c r="D197" s="25"/>
      <c r="E197" s="25"/>
      <c r="F197" s="25"/>
      <c r="G197" s="25"/>
      <c r="H197" s="25"/>
      <c r="I197" s="25"/>
      <c r="J197" s="25"/>
      <c r="K197" s="25"/>
      <c r="L197" s="25"/>
      <c r="M197" s="25"/>
      <c r="N197" s="25"/>
      <c r="O197" s="25"/>
    </row>
    <row r="198" spans="1:15" x14ac:dyDescent="0.25">
      <c r="A198" s="25"/>
      <c r="B198" s="25"/>
      <c r="C198" s="25"/>
      <c r="D198" s="25"/>
      <c r="E198" s="25"/>
      <c r="F198" s="25"/>
      <c r="G198" s="25"/>
      <c r="H198" s="25"/>
      <c r="I198" s="25"/>
      <c r="J198" s="25"/>
      <c r="K198" s="25"/>
      <c r="L198" s="25"/>
      <c r="M198" s="25"/>
      <c r="N198" s="25"/>
      <c r="O198" s="25"/>
    </row>
    <row r="199" spans="1:15" x14ac:dyDescent="0.25">
      <c r="A199" s="25"/>
      <c r="B199" s="25"/>
      <c r="C199" s="25"/>
      <c r="D199" s="25"/>
      <c r="E199" s="25"/>
      <c r="F199" s="25"/>
      <c r="G199" s="25"/>
      <c r="H199" s="25"/>
      <c r="I199" s="25"/>
      <c r="J199" s="25"/>
      <c r="K199" s="25"/>
      <c r="L199" s="25"/>
      <c r="M199" s="25"/>
      <c r="N199" s="25"/>
      <c r="O199" s="25"/>
    </row>
    <row r="200" spans="1:15" x14ac:dyDescent="0.25">
      <c r="A200" s="25"/>
      <c r="B200" s="25"/>
      <c r="C200" s="25"/>
      <c r="D200" s="25"/>
      <c r="E200" s="25"/>
      <c r="F200" s="25"/>
      <c r="G200" s="25"/>
      <c r="H200" s="25"/>
      <c r="I200" s="25"/>
      <c r="J200" s="25"/>
      <c r="K200" s="25"/>
      <c r="L200" s="25"/>
      <c r="M200" s="25"/>
      <c r="N200" s="25"/>
      <c r="O200" s="25"/>
    </row>
    <row r="201" spans="1:15" x14ac:dyDescent="0.25">
      <c r="A201" s="25"/>
      <c r="B201" s="25"/>
      <c r="C201" s="25"/>
      <c r="D201" s="25"/>
      <c r="E201" s="25"/>
      <c r="F201" s="25"/>
      <c r="G201" s="25"/>
      <c r="H201" s="25"/>
      <c r="I201" s="25"/>
      <c r="J201" s="25"/>
      <c r="K201" s="25"/>
      <c r="L201" s="25"/>
      <c r="M201" s="25"/>
      <c r="N201" s="25"/>
      <c r="O201" s="25"/>
    </row>
    <row r="202" spans="1:15" x14ac:dyDescent="0.25">
      <c r="A202" s="25"/>
      <c r="B202" s="25"/>
      <c r="C202" s="25"/>
      <c r="D202" s="25"/>
      <c r="E202" s="25"/>
      <c r="F202" s="25"/>
      <c r="G202" s="25"/>
      <c r="H202" s="25"/>
      <c r="I202" s="25"/>
      <c r="J202" s="25"/>
      <c r="K202" s="25"/>
      <c r="L202" s="25"/>
      <c r="M202" s="25"/>
      <c r="N202" s="25"/>
      <c r="O202" s="25"/>
    </row>
    <row r="203" spans="1:15" x14ac:dyDescent="0.25">
      <c r="A203" s="25"/>
      <c r="B203" s="25"/>
      <c r="C203" s="25"/>
      <c r="D203" s="25"/>
      <c r="E203" s="25"/>
      <c r="F203" s="25"/>
      <c r="G203" s="25"/>
      <c r="H203" s="25"/>
      <c r="I203" s="25"/>
      <c r="J203" s="25"/>
      <c r="K203" s="25"/>
      <c r="L203" s="25"/>
      <c r="M203" s="25"/>
      <c r="N203" s="25"/>
      <c r="O203" s="25"/>
    </row>
    <row r="204" spans="1:15" x14ac:dyDescent="0.25">
      <c r="A204" s="25"/>
      <c r="B204" s="25"/>
      <c r="C204" s="25"/>
      <c r="D204" s="25"/>
      <c r="E204" s="25"/>
      <c r="F204" s="25"/>
      <c r="G204" s="25"/>
      <c r="H204" s="25"/>
      <c r="I204" s="25"/>
      <c r="J204" s="25"/>
      <c r="K204" s="25"/>
      <c r="L204" s="25"/>
      <c r="M204" s="25"/>
      <c r="N204" s="25"/>
      <c r="O204" s="25"/>
    </row>
    <row r="205" spans="1:15" x14ac:dyDescent="0.25">
      <c r="A205" s="25"/>
      <c r="B205" s="25"/>
      <c r="C205" s="25"/>
      <c r="D205" s="25"/>
      <c r="E205" s="25"/>
      <c r="F205" s="25"/>
      <c r="G205" s="25"/>
      <c r="H205" s="25"/>
      <c r="I205" s="25"/>
      <c r="J205" s="25"/>
      <c r="K205" s="25"/>
      <c r="L205" s="25"/>
      <c r="M205" s="25"/>
      <c r="N205" s="25"/>
      <c r="O205" s="25"/>
    </row>
    <row r="206" spans="1:15" x14ac:dyDescent="0.25">
      <c r="A206" s="25"/>
      <c r="B206" s="25"/>
      <c r="C206" s="25"/>
      <c r="D206" s="25"/>
      <c r="E206" s="25"/>
      <c r="F206" s="25"/>
      <c r="G206" s="25"/>
      <c r="H206" s="25"/>
      <c r="I206" s="25"/>
      <c r="J206" s="25"/>
      <c r="K206" s="25"/>
      <c r="L206" s="25"/>
      <c r="M206" s="25"/>
      <c r="N206" s="25"/>
      <c r="O206" s="25"/>
    </row>
    <row r="207" spans="1:15" x14ac:dyDescent="0.25">
      <c r="A207" s="25"/>
      <c r="B207" s="25"/>
      <c r="C207" s="25"/>
      <c r="D207" s="25"/>
      <c r="E207" s="25"/>
      <c r="F207" s="25"/>
      <c r="G207" s="25"/>
      <c r="H207" s="25"/>
      <c r="I207" s="25"/>
      <c r="J207" s="25"/>
      <c r="K207" s="25"/>
      <c r="L207" s="25"/>
      <c r="M207" s="25"/>
      <c r="N207" s="25"/>
      <c r="O207" s="25"/>
    </row>
    <row r="208" spans="1:15" x14ac:dyDescent="0.25">
      <c r="A208" s="25"/>
      <c r="B208" s="25"/>
      <c r="C208" s="25"/>
      <c r="D208" s="25"/>
      <c r="E208" s="25"/>
      <c r="F208" s="25"/>
      <c r="G208" s="25"/>
      <c r="H208" s="25"/>
      <c r="I208" s="25"/>
      <c r="J208" s="25"/>
      <c r="K208" s="25"/>
      <c r="L208" s="25"/>
      <c r="M208" s="25"/>
      <c r="N208" s="25"/>
      <c r="O208" s="25"/>
    </row>
    <row r="209" spans="1:15" x14ac:dyDescent="0.25">
      <c r="A209" s="25"/>
      <c r="B209" s="25"/>
      <c r="C209" s="25"/>
      <c r="D209" s="25"/>
      <c r="E209" s="25"/>
      <c r="F209" s="25"/>
      <c r="G209" s="25"/>
      <c r="H209" s="25"/>
      <c r="I209" s="25"/>
      <c r="J209" s="25"/>
      <c r="K209" s="25"/>
      <c r="L209" s="25"/>
      <c r="M209" s="25"/>
      <c r="N209" s="25"/>
      <c r="O209" s="25"/>
    </row>
    <row r="210" spans="1:15" x14ac:dyDescent="0.25">
      <c r="A210" s="25"/>
      <c r="B210" s="25"/>
      <c r="C210" s="25"/>
      <c r="D210" s="25"/>
      <c r="E210" s="25"/>
      <c r="F210" s="25"/>
      <c r="G210" s="25"/>
      <c r="H210" s="25"/>
      <c r="I210" s="25"/>
      <c r="J210" s="25"/>
      <c r="K210" s="25"/>
      <c r="L210" s="25"/>
      <c r="M210" s="25"/>
      <c r="N210" s="25"/>
      <c r="O210" s="25"/>
    </row>
    <row r="211" spans="1:15" x14ac:dyDescent="0.25">
      <c r="A211" s="25"/>
      <c r="B211" s="25"/>
      <c r="C211" s="25"/>
      <c r="D211" s="25"/>
      <c r="E211" s="25"/>
      <c r="F211" s="25"/>
      <c r="G211" s="25"/>
      <c r="H211" s="25"/>
      <c r="I211" s="25"/>
      <c r="J211" s="25"/>
      <c r="K211" s="25"/>
      <c r="L211" s="25"/>
      <c r="M211" s="25"/>
      <c r="N211" s="25"/>
      <c r="O211" s="25"/>
    </row>
    <row r="212" spans="1:15" x14ac:dyDescent="0.25">
      <c r="A212" s="25"/>
      <c r="B212" s="25"/>
      <c r="C212" s="25"/>
      <c r="D212" s="25"/>
      <c r="E212" s="25"/>
      <c r="F212" s="25"/>
      <c r="G212" s="25"/>
      <c r="H212" s="25"/>
      <c r="I212" s="25"/>
      <c r="J212" s="25"/>
      <c r="K212" s="25"/>
      <c r="L212" s="25"/>
      <c r="M212" s="25"/>
      <c r="N212" s="25"/>
      <c r="O212" s="25"/>
    </row>
    <row r="213" spans="1:15" x14ac:dyDescent="0.25">
      <c r="A213" s="25"/>
      <c r="B213" s="25"/>
      <c r="C213" s="25"/>
      <c r="D213" s="25"/>
      <c r="E213" s="25"/>
      <c r="F213" s="25"/>
      <c r="G213" s="25"/>
      <c r="H213" s="25"/>
      <c r="I213" s="25"/>
      <c r="J213" s="25"/>
      <c r="K213" s="25"/>
      <c r="L213" s="25"/>
      <c r="M213" s="25"/>
      <c r="N213" s="25"/>
      <c r="O213" s="25"/>
    </row>
    <row r="214" spans="1:15" x14ac:dyDescent="0.25">
      <c r="A214" s="25"/>
      <c r="B214" s="25"/>
      <c r="C214" s="25"/>
      <c r="D214" s="25"/>
      <c r="E214" s="25"/>
      <c r="F214" s="25"/>
      <c r="G214" s="25"/>
      <c r="H214" s="25"/>
      <c r="I214" s="25"/>
      <c r="J214" s="25"/>
      <c r="K214" s="25"/>
      <c r="L214" s="25"/>
      <c r="M214" s="25"/>
      <c r="N214" s="25"/>
      <c r="O214" s="25"/>
    </row>
    <row r="215" spans="1:15" x14ac:dyDescent="0.25">
      <c r="A215" s="25"/>
      <c r="B215" s="25"/>
      <c r="C215" s="25"/>
      <c r="D215" s="25"/>
      <c r="E215" s="25"/>
      <c r="F215" s="25"/>
      <c r="G215" s="25"/>
      <c r="H215" s="25"/>
      <c r="I215" s="25"/>
      <c r="J215" s="25"/>
      <c r="K215" s="25"/>
      <c r="L215" s="25"/>
      <c r="M215" s="25"/>
      <c r="N215" s="25"/>
      <c r="O215" s="25"/>
    </row>
    <row r="216" spans="1:15" x14ac:dyDescent="0.25">
      <c r="A216" s="25"/>
      <c r="B216" s="25"/>
      <c r="C216" s="25"/>
      <c r="D216" s="25"/>
      <c r="E216" s="25"/>
      <c r="F216" s="25"/>
      <c r="G216" s="25"/>
      <c r="H216" s="25"/>
      <c r="I216" s="25"/>
      <c r="J216" s="25"/>
      <c r="K216" s="25"/>
      <c r="L216" s="25"/>
      <c r="M216" s="25"/>
      <c r="N216" s="25"/>
      <c r="O216" s="25"/>
    </row>
    <row r="217" spans="1:15" x14ac:dyDescent="0.25">
      <c r="A217" s="25"/>
      <c r="B217" s="25"/>
      <c r="C217" s="25"/>
      <c r="D217" s="25"/>
      <c r="E217" s="25"/>
      <c r="F217" s="25"/>
      <c r="G217" s="25"/>
      <c r="H217" s="25"/>
      <c r="I217" s="25"/>
      <c r="J217" s="25"/>
      <c r="K217" s="25"/>
      <c r="L217" s="25"/>
      <c r="M217" s="25"/>
      <c r="N217" s="25"/>
      <c r="O217" s="25"/>
    </row>
    <row r="218" spans="1:15" x14ac:dyDescent="0.25">
      <c r="A218" s="25"/>
      <c r="B218" s="25"/>
      <c r="C218" s="25"/>
      <c r="D218" s="25"/>
      <c r="E218" s="25"/>
      <c r="F218" s="25"/>
      <c r="G218" s="25"/>
      <c r="H218" s="25"/>
      <c r="I218" s="25"/>
      <c r="J218" s="25"/>
      <c r="K218" s="25"/>
      <c r="L218" s="25"/>
      <c r="M218" s="25"/>
      <c r="N218" s="25"/>
      <c r="O218" s="25"/>
    </row>
    <row r="219" spans="1:15" x14ac:dyDescent="0.25">
      <c r="A219" s="25"/>
      <c r="B219" s="25"/>
      <c r="C219" s="25"/>
      <c r="D219" s="25"/>
      <c r="E219" s="25"/>
      <c r="F219" s="25"/>
      <c r="G219" s="25"/>
      <c r="H219" s="25"/>
      <c r="I219" s="25"/>
      <c r="J219" s="25"/>
      <c r="K219" s="25"/>
      <c r="L219" s="25"/>
      <c r="M219" s="25"/>
      <c r="N219" s="25"/>
      <c r="O219" s="25"/>
    </row>
    <row r="220" spans="1:15" x14ac:dyDescent="0.25">
      <c r="A220" s="25"/>
      <c r="B220" s="25"/>
      <c r="C220" s="25"/>
      <c r="D220" s="25"/>
      <c r="E220" s="25"/>
      <c r="F220" s="25"/>
      <c r="G220" s="25"/>
      <c r="H220" s="25"/>
      <c r="I220" s="25"/>
      <c r="J220" s="25"/>
      <c r="K220" s="25"/>
      <c r="L220" s="25"/>
      <c r="M220" s="25"/>
      <c r="N220" s="25"/>
      <c r="O220" s="25"/>
    </row>
    <row r="221" spans="1:15" x14ac:dyDescent="0.25">
      <c r="A221" s="25"/>
      <c r="B221" s="25"/>
      <c r="C221" s="25"/>
      <c r="D221" s="25"/>
      <c r="E221" s="25"/>
      <c r="F221" s="25"/>
      <c r="G221" s="25"/>
      <c r="H221" s="25"/>
      <c r="I221" s="25"/>
      <c r="J221" s="25"/>
      <c r="K221" s="25"/>
      <c r="L221" s="25"/>
      <c r="M221" s="25"/>
      <c r="N221" s="25"/>
      <c r="O221" s="25"/>
    </row>
    <row r="222" spans="1:15" x14ac:dyDescent="0.25">
      <c r="A222" s="25"/>
      <c r="B222" s="25"/>
      <c r="C222" s="25"/>
      <c r="D222" s="25"/>
      <c r="E222" s="25"/>
      <c r="F222" s="25"/>
      <c r="G222" s="25"/>
      <c r="H222" s="25"/>
      <c r="I222" s="25"/>
      <c r="J222" s="25"/>
      <c r="K222" s="25"/>
      <c r="L222" s="25"/>
      <c r="M222" s="25"/>
      <c r="N222" s="25"/>
      <c r="O222" s="25"/>
    </row>
    <row r="223" spans="1:15" x14ac:dyDescent="0.25">
      <c r="A223" s="25"/>
      <c r="B223" s="25"/>
      <c r="C223" s="25"/>
      <c r="D223" s="25"/>
      <c r="E223" s="25"/>
      <c r="F223" s="25"/>
      <c r="G223" s="25"/>
      <c r="H223" s="25"/>
      <c r="I223" s="25"/>
      <c r="J223" s="25"/>
      <c r="K223" s="25"/>
      <c r="L223" s="25"/>
      <c r="M223" s="25"/>
      <c r="N223" s="25"/>
      <c r="O223" s="25"/>
    </row>
    <row r="224" spans="1:15" x14ac:dyDescent="0.25">
      <c r="A224" s="25"/>
      <c r="B224" s="25"/>
      <c r="C224" s="25"/>
      <c r="D224" s="25"/>
      <c r="E224" s="25"/>
      <c r="F224" s="25"/>
      <c r="G224" s="25"/>
      <c r="H224" s="25"/>
      <c r="I224" s="25"/>
      <c r="J224" s="25"/>
      <c r="K224" s="25"/>
      <c r="L224" s="25"/>
      <c r="M224" s="25"/>
      <c r="N224" s="25"/>
      <c r="O224" s="25"/>
    </row>
    <row r="225" spans="1:15" x14ac:dyDescent="0.25">
      <c r="A225" s="25"/>
      <c r="B225" s="25"/>
      <c r="C225" s="25"/>
      <c r="D225" s="25"/>
      <c r="E225" s="25"/>
      <c r="F225" s="25"/>
      <c r="G225" s="25"/>
      <c r="H225" s="25"/>
      <c r="I225" s="25"/>
      <c r="J225" s="25"/>
      <c r="K225" s="25"/>
      <c r="L225" s="25"/>
      <c r="M225" s="25"/>
      <c r="N225" s="25"/>
      <c r="O225" s="25"/>
    </row>
    <row r="226" spans="1:15" x14ac:dyDescent="0.25">
      <c r="A226" s="25"/>
      <c r="B226" s="25"/>
      <c r="C226" s="25"/>
      <c r="D226" s="25"/>
      <c r="E226" s="25"/>
      <c r="F226" s="25"/>
      <c r="G226" s="25"/>
      <c r="H226" s="25"/>
      <c r="I226" s="25"/>
      <c r="J226" s="25"/>
      <c r="K226" s="25"/>
      <c r="L226" s="25"/>
      <c r="M226" s="25"/>
      <c r="N226" s="25"/>
      <c r="O226" s="25"/>
    </row>
    <row r="227" spans="1:15" x14ac:dyDescent="0.25">
      <c r="A227" s="25"/>
      <c r="B227" s="25"/>
      <c r="C227" s="25"/>
      <c r="D227" s="25"/>
      <c r="E227" s="25"/>
      <c r="F227" s="25"/>
      <c r="G227" s="25"/>
      <c r="H227" s="25"/>
      <c r="I227" s="25"/>
      <c r="J227" s="25"/>
      <c r="K227" s="25"/>
      <c r="L227" s="25"/>
      <c r="M227" s="25"/>
      <c r="N227" s="25"/>
      <c r="O227" s="25"/>
    </row>
    <row r="228" spans="1:15" x14ac:dyDescent="0.25">
      <c r="A228" s="25"/>
      <c r="B228" s="25"/>
      <c r="C228" s="25"/>
      <c r="D228" s="25"/>
      <c r="E228" s="25"/>
      <c r="F228" s="25"/>
      <c r="G228" s="25"/>
      <c r="H228" s="25"/>
      <c r="I228" s="25"/>
      <c r="J228" s="25"/>
      <c r="K228" s="25"/>
      <c r="L228" s="25"/>
      <c r="M228" s="25"/>
      <c r="N228" s="25"/>
      <c r="O228" s="25"/>
    </row>
    <row r="229" spans="1:15" x14ac:dyDescent="0.25">
      <c r="A229" s="25"/>
      <c r="B229" s="25"/>
      <c r="C229" s="25"/>
      <c r="D229" s="25"/>
      <c r="E229" s="25"/>
      <c r="F229" s="25"/>
      <c r="G229" s="25"/>
      <c r="H229" s="25"/>
      <c r="I229" s="25"/>
      <c r="J229" s="25"/>
      <c r="K229" s="25"/>
      <c r="L229" s="25"/>
      <c r="M229" s="25"/>
      <c r="N229" s="25"/>
      <c r="O229" s="25"/>
    </row>
    <row r="230" spans="1:15" x14ac:dyDescent="0.25">
      <c r="A230" s="25"/>
      <c r="B230" s="25"/>
      <c r="C230" s="25"/>
      <c r="D230" s="25"/>
      <c r="E230" s="25"/>
      <c r="F230" s="25"/>
      <c r="G230" s="25"/>
      <c r="H230" s="25"/>
      <c r="I230" s="25"/>
      <c r="J230" s="25"/>
      <c r="K230" s="25"/>
      <c r="L230" s="25"/>
      <c r="M230" s="25"/>
      <c r="N230" s="25"/>
      <c r="O230" s="25"/>
    </row>
    <row r="231" spans="1:15" x14ac:dyDescent="0.25">
      <c r="A231" s="25"/>
      <c r="B231" s="25"/>
      <c r="C231" s="25"/>
      <c r="D231" s="25"/>
      <c r="E231" s="25"/>
      <c r="F231" s="25"/>
      <c r="G231" s="25"/>
      <c r="H231" s="25"/>
      <c r="I231" s="25"/>
      <c r="J231" s="25"/>
      <c r="K231" s="25"/>
      <c r="L231" s="25"/>
      <c r="M231" s="25"/>
      <c r="N231" s="25"/>
      <c r="O231" s="25"/>
    </row>
    <row r="232" spans="1:15" x14ac:dyDescent="0.25">
      <c r="A232" s="25"/>
      <c r="B232" s="25"/>
      <c r="C232" s="25"/>
      <c r="D232" s="25"/>
      <c r="E232" s="25"/>
      <c r="F232" s="25"/>
      <c r="G232" s="25"/>
      <c r="H232" s="25"/>
      <c r="I232" s="25"/>
      <c r="J232" s="25"/>
      <c r="K232" s="25"/>
      <c r="L232" s="25"/>
      <c r="M232" s="25"/>
      <c r="N232" s="25"/>
      <c r="O232" s="25"/>
    </row>
    <row r="233" spans="1:15" x14ac:dyDescent="0.25">
      <c r="A233" s="25"/>
      <c r="B233" s="25"/>
      <c r="C233" s="25"/>
      <c r="D233" s="25"/>
      <c r="E233" s="25"/>
      <c r="F233" s="25"/>
      <c r="G233" s="25"/>
      <c r="H233" s="25"/>
      <c r="I233" s="25"/>
      <c r="J233" s="25"/>
      <c r="K233" s="25"/>
      <c r="L233" s="25"/>
      <c r="M233" s="25"/>
      <c r="N233" s="25"/>
      <c r="O233" s="25"/>
    </row>
    <row r="234" spans="1:15" x14ac:dyDescent="0.25">
      <c r="A234" s="25"/>
      <c r="B234" s="25"/>
      <c r="C234" s="25"/>
      <c r="D234" s="25"/>
      <c r="E234" s="25"/>
      <c r="F234" s="25"/>
      <c r="G234" s="25"/>
      <c r="H234" s="25"/>
      <c r="I234" s="25"/>
      <c r="J234" s="25"/>
      <c r="K234" s="25"/>
      <c r="L234" s="25"/>
      <c r="M234" s="25"/>
      <c r="N234" s="25"/>
      <c r="O234" s="25"/>
    </row>
    <row r="235" spans="1:15" x14ac:dyDescent="0.25">
      <c r="A235" s="25"/>
      <c r="B235" s="25"/>
      <c r="C235" s="25"/>
      <c r="D235" s="25"/>
      <c r="E235" s="25"/>
      <c r="F235" s="25"/>
      <c r="G235" s="25"/>
      <c r="H235" s="25"/>
      <c r="I235" s="25"/>
      <c r="J235" s="25"/>
      <c r="K235" s="25"/>
      <c r="L235" s="25"/>
      <c r="M235" s="25"/>
      <c r="N235" s="25"/>
      <c r="O235" s="25"/>
    </row>
    <row r="236" spans="1:15" x14ac:dyDescent="0.25">
      <c r="A236" s="25"/>
      <c r="B236" s="25"/>
      <c r="C236" s="25"/>
      <c r="D236" s="25"/>
      <c r="E236" s="25"/>
      <c r="F236" s="25"/>
      <c r="G236" s="25"/>
      <c r="H236" s="25"/>
      <c r="I236" s="25"/>
      <c r="J236" s="25"/>
      <c r="K236" s="25"/>
      <c r="L236" s="25"/>
      <c r="M236" s="25"/>
      <c r="N236" s="25"/>
      <c r="O236" s="25"/>
    </row>
    <row r="237" spans="1:15" x14ac:dyDescent="0.25">
      <c r="A237" s="25"/>
      <c r="B237" s="25"/>
      <c r="C237" s="25"/>
      <c r="D237" s="25"/>
      <c r="E237" s="25"/>
      <c r="F237" s="25"/>
      <c r="G237" s="25"/>
      <c r="H237" s="25"/>
      <c r="I237" s="25"/>
      <c r="J237" s="25"/>
      <c r="K237" s="25"/>
      <c r="L237" s="25"/>
      <c r="M237" s="25"/>
      <c r="N237" s="25"/>
      <c r="O237" s="25"/>
    </row>
    <row r="238" spans="1:15" x14ac:dyDescent="0.25">
      <c r="A238" s="25"/>
      <c r="B238" s="25"/>
      <c r="C238" s="25"/>
      <c r="D238" s="25"/>
      <c r="E238" s="25"/>
      <c r="F238" s="25"/>
      <c r="G238" s="25"/>
      <c r="H238" s="25"/>
      <c r="I238" s="25"/>
      <c r="J238" s="25"/>
      <c r="K238" s="25"/>
      <c r="L238" s="25"/>
      <c r="M238" s="25"/>
      <c r="N238" s="25"/>
      <c r="O238" s="25"/>
    </row>
    <row r="239" spans="1:15" x14ac:dyDescent="0.25">
      <c r="A239" s="25"/>
      <c r="B239" s="25"/>
      <c r="C239" s="25"/>
      <c r="D239" s="25"/>
      <c r="E239" s="25"/>
      <c r="F239" s="25"/>
      <c r="G239" s="25"/>
      <c r="H239" s="25"/>
      <c r="I239" s="25"/>
      <c r="J239" s="25"/>
      <c r="K239" s="25"/>
      <c r="L239" s="25"/>
      <c r="M239" s="25"/>
      <c r="N239" s="25"/>
      <c r="O239" s="25"/>
    </row>
    <row r="240" spans="1:15" x14ac:dyDescent="0.25">
      <c r="A240" s="25"/>
      <c r="B240" s="25"/>
      <c r="C240" s="25"/>
      <c r="D240" s="25"/>
      <c r="E240" s="25"/>
      <c r="F240" s="25"/>
      <c r="G240" s="25"/>
      <c r="H240" s="25"/>
      <c r="I240" s="25"/>
      <c r="J240" s="25"/>
      <c r="K240" s="25"/>
      <c r="L240" s="25"/>
      <c r="M240" s="25"/>
      <c r="N240" s="25"/>
      <c r="O240" s="25"/>
    </row>
    <row r="241" spans="1:15" x14ac:dyDescent="0.25">
      <c r="A241" s="25"/>
      <c r="B241" s="25"/>
      <c r="C241" s="25"/>
      <c r="D241" s="25"/>
      <c r="E241" s="25"/>
      <c r="F241" s="25"/>
      <c r="G241" s="25"/>
      <c r="H241" s="25"/>
      <c r="I241" s="25"/>
      <c r="J241" s="25"/>
      <c r="K241" s="25"/>
      <c r="L241" s="25"/>
      <c r="M241" s="25"/>
      <c r="N241" s="25"/>
      <c r="O241" s="25"/>
    </row>
    <row r="242" spans="1:15" x14ac:dyDescent="0.25">
      <c r="A242" s="25"/>
      <c r="B242" s="25"/>
      <c r="C242" s="25"/>
      <c r="D242" s="25"/>
      <c r="E242" s="25"/>
      <c r="F242" s="25"/>
      <c r="G242" s="25"/>
      <c r="H242" s="25"/>
      <c r="I242" s="25"/>
      <c r="J242" s="25"/>
      <c r="K242" s="25"/>
      <c r="L242" s="25"/>
      <c r="M242" s="25"/>
      <c r="N242" s="25"/>
      <c r="O242" s="25"/>
    </row>
    <row r="243" spans="1:15" x14ac:dyDescent="0.25">
      <c r="A243" s="25"/>
      <c r="B243" s="25"/>
      <c r="C243" s="25"/>
      <c r="D243" s="25"/>
      <c r="E243" s="25"/>
      <c r="F243" s="25"/>
      <c r="G243" s="25"/>
      <c r="H243" s="25"/>
      <c r="I243" s="25"/>
      <c r="J243" s="25"/>
      <c r="K243" s="25"/>
      <c r="L243" s="25"/>
      <c r="M243" s="25"/>
      <c r="N243" s="25"/>
      <c r="O243" s="25"/>
    </row>
    <row r="244" spans="1:15" x14ac:dyDescent="0.25">
      <c r="A244" s="25"/>
      <c r="B244" s="25"/>
      <c r="C244" s="25"/>
      <c r="D244" s="25"/>
      <c r="E244" s="25"/>
      <c r="F244" s="25"/>
      <c r="G244" s="25"/>
      <c r="H244" s="25"/>
      <c r="I244" s="25"/>
      <c r="J244" s="25"/>
      <c r="K244" s="25"/>
      <c r="L244" s="25"/>
      <c r="M244" s="25"/>
      <c r="N244" s="25"/>
      <c r="O244" s="25"/>
    </row>
    <row r="245" spans="1:15" x14ac:dyDescent="0.25">
      <c r="A245" s="25"/>
      <c r="B245" s="25"/>
      <c r="C245" s="25"/>
      <c r="D245" s="25"/>
      <c r="E245" s="25"/>
      <c r="F245" s="25"/>
      <c r="G245" s="25"/>
      <c r="H245" s="25"/>
      <c r="I245" s="25"/>
      <c r="J245" s="25"/>
      <c r="K245" s="25"/>
      <c r="L245" s="25"/>
      <c r="M245" s="25"/>
      <c r="N245" s="25"/>
      <c r="O245" s="25"/>
    </row>
    <row r="246" spans="1:15" x14ac:dyDescent="0.25">
      <c r="A246" s="25"/>
      <c r="B246" s="25"/>
      <c r="C246" s="25"/>
      <c r="D246" s="25"/>
      <c r="E246" s="25"/>
      <c r="F246" s="25"/>
      <c r="G246" s="25"/>
      <c r="H246" s="25"/>
      <c r="I246" s="25"/>
      <c r="J246" s="25"/>
      <c r="K246" s="25"/>
      <c r="L246" s="25"/>
      <c r="M246" s="25"/>
      <c r="N246" s="25"/>
      <c r="O246" s="25"/>
    </row>
    <row r="247" spans="1:15" x14ac:dyDescent="0.25">
      <c r="A247" s="25"/>
      <c r="B247" s="25"/>
      <c r="C247" s="25"/>
      <c r="D247" s="25"/>
      <c r="E247" s="25"/>
      <c r="F247" s="25"/>
      <c r="G247" s="25"/>
      <c r="H247" s="25"/>
      <c r="I247" s="25"/>
      <c r="J247" s="25"/>
      <c r="K247" s="25"/>
      <c r="L247" s="25"/>
      <c r="M247" s="25"/>
      <c r="N247" s="25"/>
      <c r="O247" s="25"/>
    </row>
    <row r="248" spans="1:15" x14ac:dyDescent="0.25">
      <c r="A248" s="25"/>
      <c r="B248" s="25"/>
      <c r="C248" s="25"/>
      <c r="D248" s="25"/>
      <c r="E248" s="25"/>
      <c r="F248" s="25"/>
      <c r="G248" s="25"/>
      <c r="H248" s="25"/>
      <c r="I248" s="25"/>
      <c r="J248" s="25"/>
      <c r="K248" s="25"/>
      <c r="L248" s="25"/>
      <c r="M248" s="25"/>
      <c r="N248" s="25"/>
      <c r="O248" s="25"/>
    </row>
    <row r="249" spans="1:15" x14ac:dyDescent="0.25">
      <c r="A249" s="25"/>
      <c r="B249" s="25"/>
      <c r="C249" s="25"/>
      <c r="D249" s="25"/>
      <c r="E249" s="25"/>
      <c r="F249" s="25"/>
      <c r="G249" s="25"/>
      <c r="H249" s="25"/>
      <c r="I249" s="25"/>
      <c r="J249" s="25"/>
      <c r="K249" s="25"/>
      <c r="L249" s="25"/>
      <c r="M249" s="25"/>
      <c r="N249" s="25"/>
      <c r="O249" s="25"/>
    </row>
    <row r="250" spans="1:15" x14ac:dyDescent="0.25">
      <c r="A250" s="25"/>
      <c r="B250" s="25"/>
      <c r="C250" s="25"/>
      <c r="D250" s="25"/>
      <c r="E250" s="25"/>
      <c r="F250" s="25"/>
      <c r="G250" s="25"/>
      <c r="H250" s="25"/>
      <c r="I250" s="25"/>
      <c r="J250" s="25"/>
      <c r="K250" s="25"/>
      <c r="L250" s="25"/>
      <c r="M250" s="25"/>
      <c r="N250" s="25"/>
      <c r="O250" s="25"/>
    </row>
    <row r="251" spans="1:15" x14ac:dyDescent="0.25">
      <c r="A251" s="25"/>
      <c r="B251" s="25"/>
      <c r="C251" s="25"/>
      <c r="D251" s="25"/>
      <c r="E251" s="25"/>
      <c r="F251" s="25"/>
      <c r="G251" s="25"/>
      <c r="H251" s="25"/>
      <c r="I251" s="25"/>
      <c r="J251" s="25"/>
      <c r="K251" s="25"/>
      <c r="L251" s="25"/>
      <c r="M251" s="25"/>
      <c r="N251" s="25"/>
      <c r="O251" s="25"/>
    </row>
    <row r="252" spans="1:15" x14ac:dyDescent="0.25">
      <c r="A252" s="25"/>
      <c r="B252" s="25"/>
      <c r="C252" s="25"/>
      <c r="D252" s="25"/>
      <c r="E252" s="25"/>
      <c r="F252" s="25"/>
      <c r="G252" s="25"/>
      <c r="H252" s="25"/>
      <c r="I252" s="25"/>
      <c r="J252" s="25"/>
      <c r="K252" s="25"/>
      <c r="L252" s="25"/>
      <c r="M252" s="25"/>
      <c r="N252" s="25"/>
      <c r="O252" s="25"/>
    </row>
    <row r="253" spans="1:15" x14ac:dyDescent="0.25">
      <c r="A253" s="25"/>
      <c r="B253" s="25"/>
      <c r="C253" s="25"/>
      <c r="D253" s="25"/>
      <c r="E253" s="25"/>
      <c r="F253" s="25"/>
      <c r="G253" s="25"/>
      <c r="H253" s="25"/>
      <c r="I253" s="25"/>
      <c r="J253" s="25"/>
      <c r="K253" s="25"/>
      <c r="L253" s="25"/>
      <c r="M253" s="25"/>
      <c r="N253" s="25"/>
      <c r="O253" s="25"/>
    </row>
    <row r="254" spans="1:15" x14ac:dyDescent="0.25">
      <c r="A254" s="25"/>
      <c r="B254" s="25"/>
      <c r="C254" s="25"/>
      <c r="D254" s="25"/>
      <c r="E254" s="25"/>
      <c r="F254" s="25"/>
      <c r="G254" s="25"/>
      <c r="H254" s="25"/>
      <c r="I254" s="25"/>
      <c r="J254" s="25"/>
      <c r="K254" s="25"/>
      <c r="L254" s="25"/>
      <c r="M254" s="25"/>
      <c r="N254" s="25"/>
      <c r="O254" s="25"/>
    </row>
    <row r="255" spans="1:15" x14ac:dyDescent="0.25">
      <c r="A255" s="25"/>
      <c r="B255" s="25"/>
      <c r="C255" s="25"/>
      <c r="D255" s="25"/>
      <c r="E255" s="25"/>
      <c r="F255" s="25"/>
      <c r="G255" s="25"/>
      <c r="H255" s="25"/>
      <c r="I255" s="25"/>
      <c r="J255" s="25"/>
      <c r="K255" s="25"/>
      <c r="L255" s="25"/>
      <c r="M255" s="25"/>
      <c r="N255" s="25"/>
      <c r="O255" s="25"/>
    </row>
    <row r="256" spans="1:15" x14ac:dyDescent="0.25">
      <c r="A256" s="25"/>
      <c r="B256" s="25"/>
      <c r="C256" s="25"/>
      <c r="D256" s="25"/>
      <c r="E256" s="25"/>
      <c r="F256" s="25"/>
      <c r="G256" s="25"/>
      <c r="H256" s="25"/>
      <c r="I256" s="25"/>
      <c r="J256" s="25"/>
      <c r="K256" s="25"/>
      <c r="L256" s="25"/>
      <c r="M256" s="25"/>
      <c r="N256" s="25"/>
      <c r="O256" s="25"/>
    </row>
    <row r="257" spans="1:15" x14ac:dyDescent="0.25">
      <c r="A257" s="25"/>
      <c r="B257" s="25"/>
      <c r="C257" s="25"/>
      <c r="D257" s="25"/>
      <c r="E257" s="25"/>
      <c r="F257" s="25"/>
      <c r="G257" s="25"/>
      <c r="H257" s="25"/>
      <c r="I257" s="25"/>
      <c r="J257" s="25"/>
      <c r="K257" s="25"/>
      <c r="L257" s="25"/>
      <c r="M257" s="25"/>
      <c r="N257" s="25"/>
      <c r="O257" s="25"/>
    </row>
    <row r="258" spans="1:15" x14ac:dyDescent="0.25">
      <c r="A258" s="25"/>
      <c r="B258" s="25"/>
      <c r="C258" s="25"/>
      <c r="D258" s="25"/>
      <c r="E258" s="25"/>
      <c r="F258" s="25"/>
      <c r="G258" s="25"/>
      <c r="H258" s="25"/>
      <c r="I258" s="25"/>
      <c r="J258" s="25"/>
      <c r="K258" s="25"/>
      <c r="L258" s="25"/>
      <c r="M258" s="25"/>
      <c r="N258" s="25"/>
      <c r="O258" s="25"/>
    </row>
    <row r="259" spans="1:15" x14ac:dyDescent="0.25">
      <c r="A259" s="25"/>
      <c r="B259" s="25"/>
      <c r="C259" s="25"/>
      <c r="D259" s="25"/>
      <c r="E259" s="25"/>
      <c r="F259" s="25"/>
      <c r="G259" s="25"/>
      <c r="H259" s="25"/>
      <c r="I259" s="25"/>
      <c r="J259" s="25"/>
      <c r="K259" s="25"/>
      <c r="L259" s="25"/>
      <c r="M259" s="25"/>
      <c r="N259" s="25"/>
      <c r="O259" s="25"/>
    </row>
    <row r="260" spans="1:15" x14ac:dyDescent="0.25">
      <c r="A260" s="25"/>
      <c r="B260" s="25"/>
      <c r="C260" s="25"/>
      <c r="D260" s="25"/>
      <c r="E260" s="25"/>
      <c r="F260" s="25"/>
      <c r="G260" s="25"/>
      <c r="H260" s="25"/>
      <c r="I260" s="25"/>
      <c r="J260" s="25"/>
      <c r="K260" s="25"/>
      <c r="L260" s="25"/>
      <c r="M260" s="25"/>
      <c r="N260" s="25"/>
      <c r="O260" s="25"/>
    </row>
    <row r="261" spans="1:15" x14ac:dyDescent="0.25">
      <c r="A261" s="25"/>
      <c r="B261" s="25"/>
      <c r="C261" s="25"/>
      <c r="D261" s="25"/>
      <c r="E261" s="25"/>
      <c r="F261" s="25"/>
      <c r="G261" s="25"/>
      <c r="H261" s="25"/>
      <c r="I261" s="25"/>
      <c r="J261" s="25"/>
      <c r="K261" s="25"/>
      <c r="L261" s="25"/>
      <c r="M261" s="25"/>
      <c r="N261" s="25"/>
      <c r="O261" s="25"/>
    </row>
    <row r="262" spans="1:15" x14ac:dyDescent="0.25">
      <c r="A262" s="25"/>
      <c r="B262" s="25"/>
      <c r="C262" s="25"/>
      <c r="D262" s="25"/>
      <c r="E262" s="25"/>
      <c r="F262" s="25"/>
      <c r="G262" s="25"/>
      <c r="H262" s="25"/>
      <c r="I262" s="25"/>
      <c r="J262" s="25"/>
      <c r="K262" s="25"/>
      <c r="L262" s="25"/>
      <c r="M262" s="25"/>
      <c r="N262" s="25"/>
      <c r="O262" s="25"/>
    </row>
    <row r="263" spans="1:15" x14ac:dyDescent="0.25">
      <c r="A263" s="25"/>
      <c r="B263" s="25"/>
      <c r="C263" s="25"/>
      <c r="D263" s="25"/>
      <c r="E263" s="25"/>
      <c r="F263" s="25"/>
      <c r="G263" s="25"/>
      <c r="H263" s="25"/>
      <c r="I263" s="25"/>
      <c r="J263" s="25"/>
      <c r="K263" s="25"/>
      <c r="L263" s="25"/>
      <c r="M263" s="25"/>
      <c r="N263" s="25"/>
      <c r="O263" s="25"/>
    </row>
    <row r="264" spans="1:15" x14ac:dyDescent="0.25">
      <c r="A264" s="25"/>
      <c r="B264" s="25"/>
      <c r="C264" s="25"/>
      <c r="D264" s="25"/>
      <c r="E264" s="25"/>
      <c r="F264" s="25"/>
      <c r="G264" s="25"/>
      <c r="H264" s="25"/>
      <c r="I264" s="25"/>
      <c r="J264" s="25"/>
      <c r="K264" s="25"/>
      <c r="L264" s="25"/>
      <c r="M264" s="25"/>
      <c r="N264" s="25"/>
      <c r="O264" s="25"/>
    </row>
    <row r="265" spans="1:15" x14ac:dyDescent="0.25">
      <c r="A265" s="25"/>
      <c r="B265" s="25"/>
      <c r="C265" s="25"/>
      <c r="D265" s="25"/>
      <c r="E265" s="25"/>
      <c r="F265" s="25"/>
      <c r="G265" s="25"/>
      <c r="H265" s="25"/>
      <c r="I265" s="25"/>
      <c r="J265" s="25"/>
      <c r="K265" s="25"/>
      <c r="L265" s="25"/>
      <c r="M265" s="25"/>
      <c r="N265" s="25"/>
      <c r="O265" s="25"/>
    </row>
    <row r="266" spans="1:15" x14ac:dyDescent="0.25">
      <c r="A266" s="25"/>
      <c r="B266" s="25"/>
      <c r="C266" s="25"/>
      <c r="D266" s="25"/>
      <c r="E266" s="25"/>
      <c r="F266" s="25"/>
      <c r="G266" s="25"/>
      <c r="H266" s="25"/>
      <c r="I266" s="25"/>
      <c r="J266" s="25"/>
      <c r="K266" s="25"/>
      <c r="L266" s="25"/>
      <c r="M266" s="25"/>
      <c r="N266" s="25"/>
      <c r="O266" s="25"/>
    </row>
    <row r="267" spans="1:15" x14ac:dyDescent="0.25">
      <c r="A267" s="25"/>
      <c r="B267" s="25"/>
      <c r="C267" s="25"/>
      <c r="D267" s="25"/>
      <c r="E267" s="25"/>
      <c r="F267" s="25"/>
      <c r="G267" s="25"/>
      <c r="H267" s="25"/>
      <c r="I267" s="25"/>
      <c r="J267" s="25"/>
      <c r="K267" s="25"/>
      <c r="L267" s="25"/>
      <c r="M267" s="25"/>
      <c r="N267" s="25"/>
      <c r="O267" s="25"/>
    </row>
    <row r="268" spans="1:15" x14ac:dyDescent="0.25">
      <c r="A268" s="25"/>
      <c r="B268" s="25"/>
      <c r="C268" s="25"/>
      <c r="D268" s="25"/>
      <c r="E268" s="25"/>
      <c r="F268" s="25"/>
      <c r="G268" s="25"/>
      <c r="H268" s="25"/>
      <c r="I268" s="25"/>
      <c r="J268" s="25"/>
      <c r="K268" s="25"/>
      <c r="L268" s="25"/>
      <c r="M268" s="25"/>
      <c r="N268" s="25"/>
      <c r="O268" s="25"/>
    </row>
    <row r="269" spans="1:15" x14ac:dyDescent="0.25">
      <c r="A269" s="25"/>
      <c r="B269" s="25"/>
      <c r="C269" s="25"/>
      <c r="D269" s="25"/>
      <c r="E269" s="25"/>
      <c r="F269" s="25"/>
      <c r="G269" s="25"/>
      <c r="H269" s="25"/>
      <c r="I269" s="25"/>
      <c r="J269" s="25"/>
      <c r="K269" s="25"/>
      <c r="L269" s="25"/>
      <c r="M269" s="25"/>
      <c r="N269" s="25"/>
      <c r="O269" s="25"/>
    </row>
    <row r="270" spans="1:15" x14ac:dyDescent="0.25">
      <c r="A270" s="25"/>
      <c r="B270" s="25"/>
      <c r="C270" s="25"/>
      <c r="D270" s="25"/>
      <c r="E270" s="25"/>
      <c r="F270" s="25"/>
      <c r="G270" s="25"/>
      <c r="H270" s="25"/>
      <c r="I270" s="25"/>
      <c r="J270" s="25"/>
      <c r="K270" s="25"/>
      <c r="L270" s="25"/>
      <c r="M270" s="25"/>
      <c r="N270" s="25"/>
      <c r="O270" s="25"/>
    </row>
    <row r="271" spans="1:15" x14ac:dyDescent="0.25">
      <c r="A271" s="25"/>
      <c r="B271" s="25"/>
      <c r="C271" s="25"/>
      <c r="D271" s="25"/>
      <c r="E271" s="25"/>
      <c r="F271" s="25"/>
      <c r="G271" s="25"/>
      <c r="H271" s="25"/>
      <c r="I271" s="25"/>
      <c r="J271" s="25"/>
      <c r="K271" s="25"/>
      <c r="L271" s="25"/>
      <c r="M271" s="25"/>
      <c r="N271" s="25"/>
      <c r="O271" s="25"/>
    </row>
    <row r="272" spans="1:15" x14ac:dyDescent="0.25">
      <c r="A272" s="25"/>
      <c r="B272" s="25"/>
      <c r="C272" s="25"/>
      <c r="D272" s="25"/>
      <c r="E272" s="25"/>
      <c r="F272" s="25"/>
      <c r="G272" s="25"/>
      <c r="H272" s="25"/>
      <c r="I272" s="25"/>
      <c r="J272" s="25"/>
      <c r="K272" s="25"/>
      <c r="L272" s="25"/>
      <c r="M272" s="25"/>
      <c r="N272" s="25"/>
      <c r="O272" s="25"/>
    </row>
    <row r="273" spans="1:15" x14ac:dyDescent="0.25">
      <c r="A273" s="25"/>
      <c r="B273" s="25"/>
      <c r="C273" s="25"/>
      <c r="D273" s="25"/>
      <c r="E273" s="25"/>
      <c r="F273" s="25"/>
      <c r="G273" s="25"/>
      <c r="H273" s="25"/>
      <c r="I273" s="25"/>
      <c r="J273" s="25"/>
      <c r="K273" s="25"/>
      <c r="L273" s="25"/>
      <c r="M273" s="25"/>
      <c r="N273" s="25"/>
      <c r="O273" s="25"/>
    </row>
    <row r="274" spans="1:15" x14ac:dyDescent="0.25">
      <c r="A274" s="25"/>
      <c r="B274" s="25"/>
      <c r="C274" s="25"/>
      <c r="D274" s="25"/>
      <c r="E274" s="25"/>
      <c r="F274" s="25"/>
      <c r="G274" s="25"/>
      <c r="H274" s="25"/>
      <c r="I274" s="25"/>
      <c r="J274" s="25"/>
      <c r="K274" s="25"/>
      <c r="L274" s="25"/>
      <c r="M274" s="25"/>
      <c r="N274" s="25"/>
      <c r="O274" s="25"/>
    </row>
    <row r="275" spans="1:15" x14ac:dyDescent="0.25">
      <c r="A275" s="25"/>
      <c r="B275" s="25"/>
      <c r="C275" s="25"/>
      <c r="D275" s="25"/>
      <c r="E275" s="25"/>
      <c r="F275" s="25"/>
      <c r="G275" s="25"/>
      <c r="H275" s="25"/>
      <c r="I275" s="25"/>
      <c r="J275" s="25"/>
      <c r="K275" s="25"/>
      <c r="L275" s="25"/>
      <c r="M275" s="25"/>
      <c r="N275" s="25"/>
      <c r="O275" s="25"/>
    </row>
    <row r="276" spans="1:15" x14ac:dyDescent="0.25">
      <c r="A276" s="25"/>
      <c r="B276" s="25"/>
      <c r="C276" s="25"/>
      <c r="D276" s="25"/>
      <c r="E276" s="25"/>
      <c r="F276" s="25"/>
      <c r="G276" s="25"/>
      <c r="H276" s="25"/>
      <c r="I276" s="25"/>
      <c r="J276" s="25"/>
      <c r="K276" s="25"/>
      <c r="L276" s="25"/>
      <c r="M276" s="25"/>
      <c r="N276" s="25"/>
      <c r="O276" s="25"/>
    </row>
    <row r="277" spans="1:15" x14ac:dyDescent="0.25">
      <c r="A277" s="25"/>
      <c r="B277" s="25"/>
      <c r="C277" s="25"/>
      <c r="D277" s="25"/>
      <c r="E277" s="25"/>
      <c r="F277" s="25"/>
      <c r="G277" s="25"/>
      <c r="H277" s="25"/>
      <c r="I277" s="25"/>
      <c r="J277" s="25"/>
      <c r="K277" s="25"/>
      <c r="L277" s="25"/>
      <c r="M277" s="25"/>
      <c r="N277" s="25"/>
      <c r="O277" s="25"/>
    </row>
    <row r="278" spans="1:15" x14ac:dyDescent="0.25">
      <c r="A278" s="25"/>
      <c r="B278" s="25"/>
      <c r="C278" s="25"/>
      <c r="D278" s="25"/>
      <c r="E278" s="25"/>
      <c r="F278" s="25"/>
      <c r="G278" s="25"/>
      <c r="H278" s="25"/>
      <c r="I278" s="25"/>
      <c r="J278" s="25"/>
      <c r="K278" s="25"/>
      <c r="L278" s="25"/>
      <c r="M278" s="25"/>
      <c r="N278" s="25"/>
      <c r="O278" s="25"/>
    </row>
    <row r="279" spans="1:15" x14ac:dyDescent="0.25">
      <c r="A279" s="25"/>
      <c r="B279" s="25"/>
      <c r="C279" s="25"/>
      <c r="D279" s="25"/>
      <c r="E279" s="25"/>
      <c r="F279" s="25"/>
      <c r="G279" s="25"/>
      <c r="H279" s="25"/>
      <c r="I279" s="25"/>
      <c r="J279" s="25"/>
      <c r="K279" s="25"/>
      <c r="L279" s="25"/>
      <c r="M279" s="25"/>
      <c r="N279" s="25"/>
      <c r="O279" s="25"/>
    </row>
    <row r="280" spans="1:15" x14ac:dyDescent="0.25">
      <c r="A280" s="25"/>
      <c r="B280" s="25"/>
      <c r="C280" s="25"/>
      <c r="D280" s="25"/>
      <c r="E280" s="25"/>
      <c r="F280" s="25"/>
      <c r="G280" s="25"/>
      <c r="H280" s="25"/>
      <c r="I280" s="25"/>
      <c r="J280" s="25"/>
      <c r="K280" s="25"/>
      <c r="L280" s="25"/>
      <c r="M280" s="25"/>
      <c r="N280" s="25"/>
      <c r="O280" s="25"/>
    </row>
    <row r="281" spans="1:15" x14ac:dyDescent="0.25">
      <c r="A281" s="25"/>
      <c r="B281" s="25"/>
      <c r="C281" s="25"/>
      <c r="D281" s="25"/>
      <c r="E281" s="25"/>
      <c r="F281" s="25"/>
      <c r="G281" s="25"/>
      <c r="H281" s="25"/>
      <c r="I281" s="25"/>
      <c r="J281" s="25"/>
      <c r="K281" s="25"/>
      <c r="L281" s="25"/>
      <c r="M281" s="25"/>
      <c r="N281" s="25"/>
      <c r="O281" s="25"/>
    </row>
    <row r="282" spans="1:15" x14ac:dyDescent="0.25">
      <c r="A282" s="25"/>
      <c r="B282" s="25"/>
      <c r="C282" s="25"/>
      <c r="D282" s="25"/>
      <c r="E282" s="25"/>
      <c r="F282" s="25"/>
      <c r="G282" s="25"/>
      <c r="H282" s="25"/>
      <c r="I282" s="25"/>
      <c r="J282" s="25"/>
      <c r="K282" s="25"/>
      <c r="L282" s="25"/>
      <c r="M282" s="25"/>
      <c r="N282" s="25"/>
      <c r="O282" s="25"/>
    </row>
    <row r="283" spans="1:15" x14ac:dyDescent="0.25">
      <c r="A283" s="25"/>
      <c r="B283" s="25"/>
      <c r="C283" s="25"/>
      <c r="D283" s="25"/>
      <c r="E283" s="25"/>
      <c r="F283" s="25"/>
      <c r="G283" s="25"/>
      <c r="H283" s="25"/>
      <c r="I283" s="25"/>
      <c r="J283" s="25"/>
      <c r="K283" s="25"/>
      <c r="L283" s="25"/>
      <c r="M283" s="25"/>
      <c r="N283" s="25"/>
      <c r="O283" s="25"/>
    </row>
    <row r="284" spans="1:15" x14ac:dyDescent="0.25">
      <c r="A284" s="25"/>
      <c r="B284" s="25"/>
      <c r="C284" s="25"/>
      <c r="D284" s="25"/>
      <c r="E284" s="25"/>
      <c r="F284" s="25"/>
      <c r="G284" s="25"/>
      <c r="H284" s="25"/>
      <c r="I284" s="25"/>
      <c r="J284" s="25"/>
      <c r="K284" s="25"/>
      <c r="L284" s="25"/>
      <c r="M284" s="25"/>
      <c r="N284" s="25"/>
      <c r="O284" s="25"/>
    </row>
    <row r="285" spans="1:15" x14ac:dyDescent="0.25">
      <c r="A285" s="25"/>
      <c r="B285" s="25"/>
      <c r="C285" s="25"/>
      <c r="D285" s="25"/>
      <c r="E285" s="25"/>
      <c r="F285" s="25"/>
      <c r="G285" s="25"/>
      <c r="H285" s="25"/>
      <c r="I285" s="25"/>
      <c r="J285" s="25"/>
      <c r="K285" s="25"/>
      <c r="L285" s="25"/>
      <c r="M285" s="25"/>
      <c r="N285" s="25"/>
      <c r="O285" s="25"/>
    </row>
    <row r="286" spans="1:15" x14ac:dyDescent="0.25">
      <c r="A286" s="25"/>
      <c r="B286" s="25"/>
      <c r="C286" s="25"/>
      <c r="D286" s="25"/>
      <c r="E286" s="25"/>
      <c r="F286" s="25"/>
      <c r="G286" s="25"/>
      <c r="H286" s="25"/>
      <c r="I286" s="25"/>
      <c r="J286" s="25"/>
      <c r="K286" s="25"/>
      <c r="L286" s="25"/>
      <c r="M286" s="25"/>
      <c r="N286" s="25"/>
      <c r="O286" s="25"/>
    </row>
    <row r="287" spans="1:15" x14ac:dyDescent="0.25">
      <c r="A287" s="25"/>
      <c r="B287" s="25"/>
      <c r="C287" s="25"/>
      <c r="D287" s="25"/>
      <c r="E287" s="25"/>
      <c r="F287" s="25"/>
      <c r="G287" s="25"/>
      <c r="H287" s="25"/>
      <c r="I287" s="25"/>
      <c r="J287" s="25"/>
      <c r="K287" s="25"/>
      <c r="L287" s="25"/>
      <c r="M287" s="25"/>
      <c r="N287" s="25"/>
      <c r="O287" s="25"/>
    </row>
    <row r="288" spans="1:15" x14ac:dyDescent="0.25">
      <c r="A288" s="25"/>
      <c r="B288" s="25"/>
      <c r="C288" s="25"/>
      <c r="D288" s="25"/>
      <c r="E288" s="25"/>
      <c r="F288" s="25"/>
      <c r="G288" s="25"/>
      <c r="H288" s="25"/>
      <c r="I288" s="25"/>
      <c r="J288" s="25"/>
      <c r="K288" s="25"/>
      <c r="L288" s="25"/>
      <c r="M288" s="25"/>
      <c r="N288" s="25"/>
      <c r="O288" s="25"/>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002A8D-890E-43A8-BD6D-0CE9268F95AE}">
  <ds:schemaRefs>
    <ds:schemaRef ds:uri="http://purl.org/dc/elements/1.1/"/>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SRT Data</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2018-08-14T20:39:05Z</cp:lastPrinted>
  <dcterms:created xsi:type="dcterms:W3CDTF">2006-08-14T17:37:49Z</dcterms:created>
  <dcterms:modified xsi:type="dcterms:W3CDTF">2019-03-19T20:54:14Z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