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48" windowWidth="11352" windowHeight="7848" firstSheet="1" activeTab="1"/>
  </bookViews>
  <sheets>
    <sheet name="Code Sheet" sheetId="2" r:id="rId1"/>
    <sheet name="Report" sheetId="1" r:id="rId2"/>
    <sheet name="SRT Data" sheetId="3" r:id="rId3"/>
    <sheet name="Efficiency Calculations" sheetId="4" r:id="rId4"/>
    <sheet name=" " sheetId="5" r:id="rId5"/>
  </sheets>
  <calcPr calcId="145621"/>
</workbook>
</file>

<file path=xl/calcChain.xml><?xml version="1.0" encoding="utf-8"?>
<calcChain xmlns="http://schemas.openxmlformats.org/spreadsheetml/2006/main">
  <c r="N20" i="4" l="1"/>
  <c r="N19" i="4"/>
  <c r="N45" i="4" l="1"/>
  <c r="N49" i="4"/>
  <c r="J15" i="1" l="1"/>
  <c r="C135" i="5" l="1"/>
  <c r="D135" i="5"/>
  <c r="E135" i="5"/>
  <c r="F135" i="5"/>
  <c r="G135" i="5"/>
  <c r="B135" i="5"/>
  <c r="A9" i="2"/>
  <c r="A10" i="2" s="1"/>
  <c r="A11" i="2" s="1"/>
  <c r="A12" i="2" s="1"/>
  <c r="A13" i="2" s="1"/>
  <c r="A14" i="2" s="1"/>
  <c r="A15" i="2" s="1"/>
  <c r="A16" i="2" s="1"/>
  <c r="A17" i="2" s="1"/>
  <c r="H18" i="1"/>
  <c r="Q14" i="5"/>
  <c r="R14" i="5"/>
  <c r="S14" i="5"/>
  <c r="T14" i="5"/>
  <c r="U14" i="5"/>
  <c r="V14" i="5"/>
  <c r="W14" i="5"/>
  <c r="X14" i="5"/>
  <c r="Y14" i="5"/>
  <c r="Z14" i="5"/>
  <c r="AA14" i="5"/>
  <c r="AB14" i="5"/>
  <c r="P14" i="5"/>
  <c r="A23" i="1" l="1"/>
  <c r="A19" i="1"/>
  <c r="A18" i="2"/>
  <c r="A19" i="2" s="1"/>
  <c r="A20" i="2" s="1"/>
  <c r="A21" i="2" s="1"/>
  <c r="A22" i="2" s="1"/>
  <c r="A23" i="2" s="1"/>
  <c r="A24" i="2" s="1"/>
  <c r="A25" i="2" s="1"/>
  <c r="A26" i="2" s="1"/>
  <c r="A27" i="2" s="1"/>
  <c r="A28" i="2" s="1"/>
  <c r="A29" i="2" s="1"/>
  <c r="A30" i="2" s="1"/>
  <c r="A17" i="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8"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
1  Agri-Civic Center
2  Airport
3  Animal Control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<sst xmlns="http://schemas.openxmlformats.org/spreadsheetml/2006/main" count="723" uniqueCount="539">
  <si>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</si>
  <si>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</si>
  <si>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</si>
  <si>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</si>
  <si>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</si>
  <si>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</si>
  <si>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</si>
  <si>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</si>
  <si>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</si>
  <si>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</si>
  <si>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</si>
  <si>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</si>
  <si>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</si>
  <si>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</si>
  <si>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</si>
  <si>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</si>
  <si>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</si>
  <si>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</si>
  <si>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</si>
  <si>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</si>
  <si>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</si>
  <si>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</si>
  <si>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</si>
  <si>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</si>
  <si>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</si>
  <si>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</si>
  <si>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</si>
  <si>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</si>
  <si>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</si>
  <si>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</si>
  <si>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</si>
  <si>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</si>
  <si>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</si>
  <si>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</si>
  <si>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</si>
  <si>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</si>
  <si>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</si>
  <si>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</si>
  <si>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</si>
  <si>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</si>
  <si>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</si>
  <si>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</si>
  <si>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</si>
  <si>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</si>
  <si>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</si>
  <si>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</si>
  <si>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</si>
  <si>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</si>
  <si>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</si>
  <si>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</si>
  <si>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</si>
  <si>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</si>
  <si>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</si>
  <si>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</si>
  <si>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</si>
  <si>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</si>
  <si>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</si>
  <si>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</si>
  <si>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</si>
  <si>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</si>
  <si>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</si>
  <si>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</si>
  <si>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</si>
  <si>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</si>
  <si>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</si>
  <si>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</si>
  <si>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</si>
  <si>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</si>
  <si>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</si>
  <si>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</si>
  <si>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</si>
  <si>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</si>
  <si>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</si>
  <si>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</si>
  <si>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</si>
  <si>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</si>
  <si>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</si>
  <si>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</si>
  <si>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</si>
  <si>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</si>
  <si>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</si>
  <si>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</si>
  <si>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</si>
  <si>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</si>
  <si>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</si>
  <si>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</si>
  <si>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</si>
  <si>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</si>
  <si>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</si>
  <si>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</si>
  <si>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</si>
  <si>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</si>
  <si>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</si>
  <si>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</si>
  <si>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</si>
  <si>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</si>
  <si>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</si>
  <si>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</si>
  <si>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</si>
  <si>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</si>
  <si>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</si>
  <si>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</si>
  <si>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</si>
  <si>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</si>
  <si>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</si>
  <si>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</si>
  <si>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</si>
  <si>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</si>
  <si>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</si>
  <si>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</si>
  <si>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</si>
  <si>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</si>
  <si>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</si>
  <si>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</si>
  <si>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</si>
  <si>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</si>
  <si>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</si>
  <si>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</si>
  <si>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</si>
  <si>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</si>
  <si>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</si>
  <si>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</si>
  <si>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</si>
  <si>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</si>
  <si>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</si>
  <si>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</si>
  <si>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</si>
  <si>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</si>
  <si>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</si>
  <si>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</si>
  <si>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</si>
  <si>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</si>
  <si>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</si>
  <si>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</si>
  <si>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</si>
  <si>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</si>
  <si>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</si>
  <si>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</si>
  <si>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</si>
  <si>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</si>
  <si>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</si>
  <si>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</si>
  <si>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</si>
  <si>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</si>
  <si>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</si>
  <si>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</si>
  <si>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</si>
  <si>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</si>
  <si>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</si>
  <si>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</si>
  <si>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</si>
  <si>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</si>
  <si>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</si>
  <si>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</si>
  <si>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</si>
  <si>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</si>
  <si>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</si>
  <si>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</si>
  <si>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</si>
  <si>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</si>
  <si>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</si>
  <si>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</si>
  <si>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</si>
  <si>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</si>
  <si>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</si>
  <si>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</si>
  <si>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</si>
  <si>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</si>
  <si>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</si>
  <si>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</si>
  <si>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</si>
  <si>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</si>
  <si>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</si>
  <si>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</si>
  <si>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</si>
  <si>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</si>
  <si>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</si>
  <si>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</si>
  <si>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</si>
  <si>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</si>
  <si>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</si>
  <si>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</si>
  <si>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</si>
  <si>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</si>
  <si>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</si>
  <si>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</si>
  <si>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</si>
  <si>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</si>
  <si>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</si>
  <si>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</si>
  <si>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</si>
  <si>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</si>
  <si>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</si>
  <si>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</si>
  <si>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</si>
  <si>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</si>
  <si>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</si>
  <si>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</si>
  <si>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</si>
  <si>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</si>
  <si>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</si>
  <si>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</si>
  <si>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</si>
  <si>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</si>
  <si>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</si>
  <si>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</si>
  <si>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</si>
  <si>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</si>
  <si>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</si>
  <si>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</si>
  <si>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</si>
  <si>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</si>
  <si>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</si>
  <si>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</si>
  <si>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</si>
  <si>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</si>
  <si>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</si>
  <si>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</si>
  <si>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</si>
  <si>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</si>
  <si>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</si>
  <si>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</si>
  <si>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</si>
  <si>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</si>
  <si>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</si>
  <si>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</si>
  <si>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</si>
  <si>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</si>
  <si>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</si>
  <si>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</si>
  <si>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</si>
  <si>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</si>
  <si>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</si>
  <si>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</si>
  <si>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</si>
  <si>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</si>
  <si>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</si>
  <si>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</si>
  <si>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</si>
  <si>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</si>
  <si>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</si>
  <si>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</si>
  <si>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</si>
  <si>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</si>
  <si>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</si>
  <si>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</si>
  <si>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</si>
  <si>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</si>
  <si>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</si>
  <si>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</si>
  <si>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</si>
  <si>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</si>
  <si>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</si>
  <si>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</si>
  <si>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</si>
  <si>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</si>
  <si>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</si>
  <si>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</si>
  <si>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</si>
  <si>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</si>
  <si>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</si>
  <si>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</si>
  <si>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</si>
  <si>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</si>
  <si>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</si>
  <si>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</si>
  <si>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</si>
  <si>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</si>
  <si>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</si>
  <si>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</si>
  <si>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</si>
  <si>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</si>
  <si>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</si>
  <si>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</si>
  <si>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</si>
  <si>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</si>
  <si>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</si>
  <si>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</si>
  <si>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</si>
  <si>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</si>
  <si>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</si>
  <si>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</si>
  <si>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</si>
  <si>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</si>
  <si>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</si>
  <si>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</si>
  <si>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</si>
  <si>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</si>
  <si>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</si>
  <si>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</si>
  <si>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</si>
  <si>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</si>
  <si>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</si>
  <si>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</si>
  <si>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</si>
  <si>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</si>
  <si>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</si>
  <si>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</si>
  <si>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</si>
  <si>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</si>
  <si>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</si>
  <si>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</si>
  <si>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</si>
  <si>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</si>
  <si>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</si>
  <si>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</si>
  <si>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</si>
  <si>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</si>
  <si>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</si>
  <si>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</si>
  <si>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</si>
  <si>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</si>
  <si>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</si>
  <si>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</si>
  <si>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</si>
  <si>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</si>
  <si>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</si>
  <si>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</si>
  <si>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</si>
  <si>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</si>
  <si>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</si>
  <si>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</si>
  <si>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</si>
  <si>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</si>
  <si>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</si>
  <si>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</si>
  <si>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</si>
  <si>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</si>
  <si>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</si>
  <si>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</si>
  <si>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</si>
  <si>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</si>
  <si>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</si>
  <si>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</si>
  <si>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</si>
  <si>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</si>
  <si>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</si>
  <si>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</si>
  <si>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</si>
  <si>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</si>
  <si>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</si>
  <si>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</si>
  <si>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</si>
  <si>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</si>
  <si>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</si>
  <si>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</si>
  <si>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</si>
  <si>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</si>
  <si>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</si>
  <si>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</si>
  <si>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</si>
  <si>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</si>
  <si>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</si>
  <si>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</si>
  <si>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</si>
  <si>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</si>
  <si>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</si>
  <si>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</si>
  <si>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</si>
  <si>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</si>
  <si>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</si>
  <si>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</si>
  <si>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</si>
  <si>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</si>
  <si>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</si>
  <si>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</si>
  <si>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</si>
  <si>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</si>
  <si>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</si>
  <si>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</si>
  <si>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</si>
  <si>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</si>
  <si>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</si>
  <si>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</si>
  <si>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</si>
  <si>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</si>
  <si>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</si>
  <si>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</si>
  <si>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</si>
  <si>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</si>
  <si>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</si>
  <si>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</si>
  <si>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</si>
  <si>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</si>
  <si>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</si>
  <si>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</si>
  <si>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</si>
  <si>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</si>
  <si>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</si>
  <si>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</si>
  <si>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</si>
  <si>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</si>
  <si>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</si>
  <si>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</si>
  <si>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</si>
  <si>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</si>
  <si>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</si>
  <si>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</si>
  <si>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</si>
  <si>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</si>
  <si>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</si>
  <si>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</si>
  <si>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</si>
  <si>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</si>
  <si>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</si>
  <si>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</si>
  <si>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</si>
  <si>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</si>
  <si>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</si>
  <si>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Work orders received</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</si>
  <si>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</si>
  <si>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</si>
  <si>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</si>
  <si>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</si>
  <si>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</si>
  <si>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</si>
  <si>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</si>
  <si>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</si>
  <si>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</si>
  <si>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</si>
  <si>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</si>
  <si>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</si>
  <si>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</si>
  <si>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</si>
  <si>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</si>
  <si>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</si>
  <si>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</si>
  <si>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</si>
  <si>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</si>
  <si>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</si>
  <si>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</si>
  <si>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</si>
  <si>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</si>
  <si>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</si>
  <si>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</si>
  <si>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</si>
  <si>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</si>
  <si>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</si>
  <si>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</si>
  <si>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</si>
  <si>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</si>
  <si>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</si>
  <si>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</si>
  <si>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</si>
  <si>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</si>
  <si>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</si>
  <si>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</si>
  <si>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</si>
  <si>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</si>
  <si>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</si>
  <si>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</si>
  <si>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</si>
  <si>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 xml:space="preserve"># Avg. clients served per day at Senior Center </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</si>
  <si>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</si>
  <si>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</si>
  <si>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</si>
  <si>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</si>
  <si>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</si>
  <si>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</si>
  <si>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</si>
  <si>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</si>
  <si>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</si>
  <si>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</si>
  <si>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</si>
  <si>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</si>
  <si>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</si>
  <si>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</si>
  <si>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</si>
  <si>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</si>
  <si>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</si>
  <si>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</si>
  <si>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</si>
  <si>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</si>
  <si>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</si>
  <si>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</si>
  <si>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</si>
  <si>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</si>
  <si>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</si>
  <si>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</si>
  <si>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</si>
  <si>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</si>
  <si>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</si>
  <si>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</si>
  <si>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</si>
  <si>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</si>
  <si>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</si>
  <si>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</si>
  <si>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</si>
  <si>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</si>
  <si>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</si>
  <si>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</si>
  <si>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</si>
  <si>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</si>
  <si>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</si>
  <si>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</si>
  <si>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</si>
  <si>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</si>
  <si>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</si>
  <si>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</si>
  <si>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</si>
  <si>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</si>
  <si>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</si>
  <si>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</si>
  <si>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</si>
  <si>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M-51</t>
  </si>
  <si>
    <t>$ Total paid health claims</t>
  </si>
  <si>
    <t>Fire</t>
  </si>
  <si>
    <t>Fire (all Depts. Including Albemarle)</t>
  </si>
  <si>
    <t># Un-rentable days due to rehearsals</t>
  </si>
  <si>
    <t># Total violent crime incidents</t>
  </si>
  <si>
    <t># Disqualifed during exemption audit</t>
  </si>
  <si>
    <t xml:space="preserve"># Total calls </t>
  </si>
  <si>
    <t># Clients served (Center Activities)</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</si>
  <si>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</si>
  <si>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</si>
  <si>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</si>
  <si>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</si>
  <si>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</si>
  <si>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</si>
  <si>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</si>
  <si>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</si>
  <si>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</si>
  <si>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</si>
  <si>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</si>
  <si>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</si>
  <si>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</si>
  <si>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</si>
  <si>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Employees = 450</t>
  </si>
  <si>
    <t># EM/Fire investigation response</t>
  </si>
  <si>
    <t># Clients using transportation services</t>
  </si>
  <si>
    <t>61,670 (July 1, 2017)</t>
  </si>
  <si>
    <t># Direct follow-up w/prospect business or consultant</t>
  </si>
  <si>
    <t># Deeds processed per month (tax mapping)</t>
  </si>
  <si>
    <t xml:space="preserve"># History Center visitors </t>
  </si>
  <si>
    <t># History Center event attendance</t>
  </si>
  <si>
    <t># History Center general public tours</t>
  </si>
  <si>
    <t># History Center school based tours</t>
  </si>
  <si>
    <t># Claims &amp; other written action submitted</t>
  </si>
  <si>
    <t>#Claims/written actions per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</si>
</sst>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8"/>
      <name val="Cambria"/>
      <family val="1"/>
      <scheme val="major"/>
    </font>
    <font>
      <b/>
      <sz val="14"/>
      <name val="Cambria"/>
      <family val="1"/>
      <scheme val="major"/>
    </font>
    <font>
      <b/>
      <sz val="10.5"/>
      <name val="Cambria"/>
      <family val="1"/>
      <scheme val="major"/>
    </font>
    <font>
      <sz val="10"/>
      <name val="Cambria"/>
      <family val="1"/>
      <scheme val="major"/>
    </font>
    <font>
      <b/>
      <sz val="10"/>
      <name val="Cambria"/>
      <family val="1"/>
      <scheme val="major"/>
    </font>
    <font>
      <b/>
      <sz val="9.5"/>
      <name val="Cambria"/>
      <family val="1"/>
      <scheme val="major"/>
    </font>
    <font>
      <sz val="9.5"/>
      <name val="Cambria"/>
      <family val="1"/>
      <scheme val="major"/>
    </font>
    <font>
      <b/>
      <sz val="12"/>
      <name val="Cambria"/>
      <family val="1"/>
      <scheme val="major"/>
    </font>
    <font>
      <b/>
      <sz val="9.5"/>
      <color theme="0"/>
      <name val="Cambria"/>
      <family val="1"/>
      <scheme val="maj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rgb="FF368ED6"/>
        <bgColor indexed="64"/>
      </patternFill>
    </fill>
    <fill>
      <patternFill patternType="solid">
        <fgColor rgb="FF92D050"/>
        <bgColor indexed="64"/>
      </patternFill>
    </fill>
    <fill>
      <patternFill patternType="solid">
        <fgColor theme="3" tint="-0.499984740745262"/>
        <bgColor indexed="64"/>
      </patternFill>
    </fill>
  </fills>
  <borders count="13">
    <border>
      <left/>
      <right/>
      <top/>
      <bottom/>
      <diagonal/>
    </border>
    <border>
      <left/>
      <right style="medium">
        <color indexed="64"/>
      </right>
      <top/>
      <bottom/>
      <diagonal/>
    </border>
    <border>
      <left/>
      <right/>
      <top style="medium">
        <color indexed="64"/>
      </top>
      <bottom/>
      <diagonal/>
    </border>
    <border>
      <left/>
      <right/>
      <top style="double">
        <color rgb="FF368ED6"/>
      </top>
      <bottom/>
      <diagonal/>
    </border>
    <border>
      <left/>
      <right style="double">
        <color rgb="FF368ED6"/>
      </right>
      <top style="double">
        <color rgb="FF368ED6"/>
      </top>
      <bottom/>
      <diagonal/>
    </border>
    <border>
      <left style="double">
        <color rgb="FF368ED6"/>
      </left>
      <right/>
      <top/>
      <bottom/>
      <diagonal/>
    </border>
    <border>
      <left/>
      <right style="double">
        <color rgb="FF368ED6"/>
      </right>
      <top style="medium">
        <color indexed="64"/>
      </top>
      <bottom/>
      <diagonal/>
    </border>
    <border>
      <left/>
      <right style="double">
        <color rgb="FF368ED6"/>
      </right>
      <top/>
      <bottom/>
      <diagonal/>
    </border>
    <border>
      <left style="double">
        <color rgb="FF368ED6"/>
      </left>
      <right/>
      <top/>
      <bottom style="double">
        <color rgb="FF368ED6"/>
      </bottom>
      <diagonal/>
    </border>
    <border>
      <left/>
      <right/>
      <top/>
      <bottom style="double">
        <color rgb="FF368ED6"/>
      </bottom>
      <diagonal/>
    </border>
    <border>
      <left/>
      <right style="double">
        <color rgb="FF368ED6"/>
      </right>
      <top/>
      <bottom style="double">
        <color rgb="FF368ED6"/>
      </bottom>
      <diagonal/>
    </border>
    <border>
      <left style="double">
        <color rgb="FF368ED6"/>
      </left>
      <right/>
      <top style="double">
        <color rgb="FF368ED6"/>
      </top>
      <bottom style="medium">
        <color theme="3" tint="-0.499984740745262"/>
      </bottom>
      <diagonal/>
    </border>
    <border>
      <left/>
      <right/>
      <top style="double">
        <color rgb="FF368ED6"/>
      </top>
      <bottom style="medium">
        <color theme="3" tint="-0.499984740745262"/>
      </bottom>
      <diagonal/>
    </border>
  </borders>
  <cellStyleXfs count="1">
    <xf numFmtId="0" fontId="0" fillId="0" borderId="0"/>
  </cellStyleXfs>
  <cellXfs count="93">
    <xf numFmtId="0" fontId="0" fillId="0" borderId="0" xfId="0"/>
    <xf numFmtId="0" fontId="2" fillId="0" borderId="0" xfId="0" applyFont="1" applyAlignment="1">
      <alignment vertical="top"/>
    </xf>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vertical="top"/>
    </xf>
    <xf numFmtId="0" fontId="1" fillId="3" borderId="0" xfId="0" applyFont="1" applyFill="1"/>
    <xf numFmtId="0" fontId="2" fillId="0" borderId="0" xfId="0" applyFont="1" applyFill="1" applyAlignment="1">
      <alignment vertical="top"/>
    </xf>
    <xf numFmtId="0" fontId="3" fillId="2" borderId="0" xfId="0" applyFont="1" applyFill="1" applyAlignment="1">
      <alignment horizontal="center" vertical="top"/>
    </xf>
    <xf numFmtId="0" fontId="1" fillId="3"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4" borderId="0" xfId="0" applyFont="1" applyFill="1" applyAlignment="1">
      <alignment vertical="top"/>
    </xf>
    <xf numFmtId="0" fontId="3" fillId="4" borderId="0" xfId="0" applyFont="1" applyFill="1" applyBorder="1" applyAlignment="1">
      <alignment horizontal="center" vertical="top"/>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0" fillId="5" borderId="0" xfId="0" applyFill="1"/>
    <xf numFmtId="0" fontId="18" fillId="0" borderId="0" xfId="0" applyFont="1"/>
    <xf numFmtId="0" fontId="15" fillId="0" borderId="0" xfId="0" applyFont="1" applyAlignment="1">
      <alignment horizontal="left"/>
    </xf>
    <xf numFmtId="0" fontId="0" fillId="7" borderId="0" xfId="0" applyFill="1"/>
    <xf numFmtId="164" fontId="0" fillId="0" borderId="0" xfId="0" applyNumberFormat="1" applyAlignment="1">
      <alignment horizontal="center"/>
    </xf>
    <xf numFmtId="0" fontId="19" fillId="6"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2" fontId="0" fillId="5" borderId="0" xfId="0" applyNumberFormat="1" applyFill="1"/>
    <xf numFmtId="1" fontId="0" fillId="5" borderId="0" xfId="0" applyNumberFormat="1" applyFill="1"/>
    <xf numFmtId="0" fontId="21" fillId="2" borderId="0" xfId="0" applyFont="1" applyFill="1" applyAlignment="1">
      <alignment vertical="top"/>
    </xf>
    <xf numFmtId="0" fontId="22" fillId="2" borderId="0" xfId="0" applyFont="1" applyFill="1" applyAlignment="1">
      <alignment vertical="top"/>
    </xf>
    <xf numFmtId="0" fontId="23" fillId="2" borderId="0" xfId="0" applyFont="1" applyFill="1" applyAlignment="1">
      <alignment vertical="top"/>
    </xf>
    <xf numFmtId="0" fontId="24" fillId="2" borderId="0" xfId="0" applyFont="1" applyFill="1" applyAlignment="1">
      <alignment vertical="top"/>
    </xf>
    <xf numFmtId="0" fontId="27" fillId="2" borderId="0" xfId="0" applyFont="1" applyFill="1" applyBorder="1" applyAlignment="1">
      <alignment vertical="top"/>
    </xf>
    <xf numFmtId="0" fontId="26" fillId="2" borderId="0" xfId="0" applyNumberFormat="1" applyFont="1" applyFill="1" applyBorder="1" applyAlignment="1" applyProtection="1">
      <alignment horizontal="center" vertical="top"/>
      <protection locked="0"/>
    </xf>
    <xf numFmtId="0" fontId="26" fillId="4" borderId="0" xfId="0" applyFont="1" applyFill="1" applyBorder="1" applyAlignment="1">
      <alignment horizontal="center" vertical="top"/>
    </xf>
    <xf numFmtId="0" fontId="20" fillId="9" borderId="0" xfId="0" applyFont="1" applyFill="1" applyAlignment="1">
      <alignment vertical="top"/>
    </xf>
    <xf numFmtId="0" fontId="25" fillId="8" borderId="0" xfId="0" applyFont="1" applyFill="1" applyBorder="1" applyAlignment="1" applyProtection="1">
      <alignment vertical="top"/>
      <protection locked="0"/>
    </xf>
    <xf numFmtId="0" fontId="28" fillId="9" borderId="0" xfId="0" applyFont="1" applyFill="1" applyAlignment="1">
      <alignment vertical="top"/>
    </xf>
    <xf numFmtId="0" fontId="27" fillId="2" borderId="3" xfId="0" applyFont="1" applyFill="1" applyBorder="1" applyAlignment="1">
      <alignment vertical="top"/>
    </xf>
    <xf numFmtId="0" fontId="27" fillId="0" borderId="3" xfId="0" applyFont="1" applyBorder="1" applyAlignment="1">
      <alignment vertical="top"/>
    </xf>
    <xf numFmtId="0" fontId="27" fillId="4" borderId="3" xfId="0" applyFont="1" applyFill="1" applyBorder="1" applyAlignment="1">
      <alignment vertical="top"/>
    </xf>
    <xf numFmtId="0" fontId="27" fillId="4" borderId="4" xfId="0" applyFont="1" applyFill="1" applyBorder="1" applyAlignment="1">
      <alignment vertical="top"/>
    </xf>
    <xf numFmtId="0" fontId="27" fillId="2" borderId="5" xfId="0" applyFont="1" applyFill="1" applyBorder="1" applyAlignment="1">
      <alignment vertical="top"/>
    </xf>
    <xf numFmtId="9" fontId="26" fillId="4" borderId="7" xfId="0" applyNumberFormat="1" applyFont="1" applyFill="1" applyBorder="1" applyAlignment="1">
      <alignment horizontal="center" vertical="top"/>
    </xf>
    <xf numFmtId="0" fontId="26" fillId="2" borderId="9" xfId="0" applyNumberFormat="1" applyFont="1" applyFill="1" applyBorder="1" applyAlignment="1" applyProtection="1">
      <alignment horizontal="center" vertical="top"/>
      <protection locked="0"/>
    </xf>
    <xf numFmtId="0" fontId="26" fillId="4" borderId="9" xfId="0" applyFont="1" applyFill="1" applyBorder="1" applyAlignment="1">
      <alignment horizontal="center" vertical="top"/>
    </xf>
    <xf numFmtId="9" fontId="26" fillId="4" borderId="10" xfId="0" applyNumberFormat="1" applyFont="1" applyFill="1" applyBorder="1" applyAlignment="1">
      <alignment horizontal="center" vertical="top"/>
    </xf>
    <xf numFmtId="0" fontId="29" fillId="10" borderId="2" xfId="0" applyFont="1" applyFill="1" applyBorder="1" applyAlignment="1">
      <alignment horizontal="center" vertical="top"/>
    </xf>
    <xf numFmtId="0" fontId="29" fillId="10" borderId="6" xfId="0" applyFont="1" applyFill="1" applyBorder="1" applyAlignment="1">
      <alignment horizontal="center" vertical="top"/>
    </xf>
    <xf numFmtId="0" fontId="26" fillId="2" borderId="11" xfId="0" applyFont="1" applyFill="1" applyBorder="1" applyAlignment="1">
      <alignment vertical="top"/>
    </xf>
    <xf numFmtId="0" fontId="26" fillId="2" borderId="12" xfId="0" applyFont="1" applyFill="1" applyBorder="1" applyAlignment="1">
      <alignment vertical="top"/>
    </xf>
    <xf numFmtId="0" fontId="27" fillId="2" borderId="12" xfId="0" applyFont="1" applyFill="1" applyBorder="1" applyAlignment="1">
      <alignment vertical="top"/>
    </xf>
    <xf numFmtId="0" fontId="26" fillId="2" borderId="5" xfId="0" applyNumberFormat="1" applyFont="1" applyFill="1" applyBorder="1" applyAlignment="1">
      <alignment vertical="top"/>
    </xf>
    <xf numFmtId="0" fontId="26" fillId="2" borderId="0" xfId="0" applyNumberFormat="1" applyFont="1" applyFill="1" applyBorder="1" applyAlignment="1">
      <alignment vertical="top"/>
    </xf>
    <xf numFmtId="0" fontId="26" fillId="2" borderId="8" xfId="0" applyNumberFormat="1" applyFont="1" applyFill="1" applyBorder="1" applyAlignment="1">
      <alignment vertical="top"/>
    </xf>
    <xf numFmtId="0" fontId="26" fillId="2" borderId="9" xfId="0" applyNumberFormat="1" applyFont="1" applyFill="1" applyBorder="1" applyAlignment="1">
      <alignment vertical="top"/>
    </xf>
    <xf numFmtId="0" fontId="28" fillId="9"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368ED6"/>
      <color rgb="FF0099FF"/>
      <color rgb="FF0066FF"/>
      <color rgb="FF00B050"/>
      <color rgb="FF009900"/>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112541</xdr:colOff>
      <xdr:row>0</xdr:row>
      <xdr:rowOff>22861</xdr:rowOff>
    </xdr:from>
    <xdr:to>
      <xdr:col>16</xdr:col>
      <xdr:colOff>769619</xdr:colOff>
      <xdr:row>2</xdr:row>
      <xdr:rowOff>358141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8481" y="22861"/>
          <a:ext cx="1236198" cy="845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M31" sqref="M31"/>
    </sheetView>
  </sheetViews>
  <sheetFormatPr defaultRowHeight="13.2" x14ac:dyDescent="0.25"/>
  <cols>
    <col min="1" max="1" width="5.5546875" customWidth="1"/>
    <col min="2" max="2" width="24.44140625" customWidth="1"/>
    <col min="3" max="3" width="9" customWidth="1"/>
  </cols>
  <sheetData>
    <row r="1" spans="1:15" x14ac:dyDescent="0.25">
      <c r="A1" s="5" t="s">
        <v>3</v>
      </c>
      <c r="B1" s="5" t="s">
        <v>1</v>
      </c>
      <c r="C1" s="8" t="s">
        <v>18</v>
      </c>
      <c r="D1" s="8" t="s">
        <v>19</v>
      </c>
      <c r="E1" s="8" t="s">
        <v>20</v>
      </c>
      <c r="F1" s="8" t="s">
        <v>21</v>
      </c>
      <c r="G1" s="8" t="s">
        <v>22</v>
      </c>
      <c r="H1" s="8" t="s">
        <v>222</v>
      </c>
      <c r="I1" s="8" t="s">
        <v>223</v>
      </c>
      <c r="J1" s="8" t="s">
        <v>224</v>
      </c>
      <c r="K1" s="8" t="s">
        <v>225</v>
      </c>
      <c r="L1" s="8" t="s">
        <v>226</v>
      </c>
      <c r="M1" s="8" t="s">
        <v>270</v>
      </c>
      <c r="N1" s="8" t="s">
        <v>271</v>
      </c>
      <c r="O1" s="8" t="s">
        <v>272</v>
      </c>
    </row>
    <row r="2" spans="1:15" s="15" customFormat="1" x14ac:dyDescent="0.25">
      <c r="A2" s="10">
        <v>1</v>
      </c>
      <c r="B2" s="23" t="s">
        <v>221</v>
      </c>
      <c r="C2" s="51" t="s">
        <v>236</v>
      </c>
      <c r="D2" s="52" t="s">
        <v>242</v>
      </c>
      <c r="E2" s="41" t="s">
        <v>243</v>
      </c>
      <c r="F2" s="52" t="s">
        <v>237</v>
      </c>
      <c r="G2" s="52" t="s">
        <v>508</v>
      </c>
      <c r="H2" s="41"/>
      <c r="I2" s="41"/>
      <c r="J2" s="41"/>
      <c r="K2" s="41"/>
      <c r="L2" s="41"/>
      <c r="M2" s="41"/>
    </row>
    <row r="3" spans="1:15" x14ac:dyDescent="0.25">
      <c r="A3" s="9">
        <v>2</v>
      </c>
      <c r="B3" s="24" t="s">
        <v>4</v>
      </c>
      <c r="C3" s="41" t="s">
        <v>244</v>
      </c>
      <c r="D3" s="41" t="s">
        <v>247</v>
      </c>
      <c r="E3" s="41" t="s">
        <v>248</v>
      </c>
      <c r="F3" s="41" t="s">
        <v>245</v>
      </c>
      <c r="G3" s="41" t="s">
        <v>480</v>
      </c>
      <c r="H3" s="41" t="s">
        <v>246</v>
      </c>
      <c r="I3" s="41" t="s">
        <v>481</v>
      </c>
      <c r="J3" s="41" t="s">
        <v>482</v>
      </c>
      <c r="K3" s="41"/>
      <c r="L3" s="41"/>
      <c r="M3" s="41"/>
    </row>
    <row r="4" spans="1:15" x14ac:dyDescent="0.25">
      <c r="A4" s="9">
        <v>3</v>
      </c>
      <c r="B4" s="38" t="s">
        <v>235</v>
      </c>
      <c r="C4" s="53" t="s">
        <v>71</v>
      </c>
      <c r="D4" s="53" t="s">
        <v>467</v>
      </c>
      <c r="E4" s="53" t="s">
        <v>70</v>
      </c>
      <c r="F4" s="41" t="s">
        <v>273</v>
      </c>
      <c r="G4" s="54" t="s">
        <v>474</v>
      </c>
      <c r="H4" s="54" t="s">
        <v>328</v>
      </c>
      <c r="J4" s="41"/>
      <c r="K4" s="41"/>
      <c r="L4" s="41"/>
      <c r="M4" s="41"/>
    </row>
    <row r="5" spans="1:15" x14ac:dyDescent="0.25">
      <c r="A5" s="9">
        <f>SUM(A4+1)</f>
        <v>4</v>
      </c>
      <c r="B5" s="25" t="s">
        <v>5</v>
      </c>
      <c r="C5" s="53" t="s">
        <v>23</v>
      </c>
      <c r="D5" s="53" t="s">
        <v>369</v>
      </c>
      <c r="E5" s="53" t="s">
        <v>370</v>
      </c>
      <c r="F5" s="53" t="s">
        <v>371</v>
      </c>
      <c r="G5" s="53" t="s">
        <v>24</v>
      </c>
      <c r="H5" s="53" t="s">
        <v>48</v>
      </c>
      <c r="I5" s="53" t="s">
        <v>372</v>
      </c>
      <c r="J5" s="53" t="s">
        <v>373</v>
      </c>
      <c r="K5" s="53"/>
      <c r="L5" s="53"/>
      <c r="M5" s="41"/>
    </row>
    <row r="6" spans="1:15" x14ac:dyDescent="0.25">
      <c r="A6" s="9">
        <v>5</v>
      </c>
      <c r="B6" s="25" t="s">
        <v>429</v>
      </c>
      <c r="C6" s="41" t="s">
        <v>430</v>
      </c>
      <c r="D6" s="41" t="s">
        <v>431</v>
      </c>
      <c r="E6" s="53" t="s">
        <v>432</v>
      </c>
      <c r="F6" s="54" t="s">
        <v>433</v>
      </c>
      <c r="G6" s="54" t="s">
        <v>434</v>
      </c>
      <c r="H6" s="41"/>
      <c r="I6" s="41"/>
      <c r="J6" s="53"/>
      <c r="K6" s="53"/>
      <c r="L6" s="53"/>
      <c r="M6" s="41"/>
    </row>
    <row r="7" spans="1:15" x14ac:dyDescent="0.25">
      <c r="A7" s="9">
        <v>6</v>
      </c>
      <c r="B7" s="60" t="s">
        <v>488</v>
      </c>
      <c r="C7" s="53" t="s">
        <v>484</v>
      </c>
      <c r="D7" s="53" t="s">
        <v>495</v>
      </c>
      <c r="E7" s="53" t="s">
        <v>485</v>
      </c>
      <c r="F7" s="53" t="s">
        <v>486</v>
      </c>
      <c r="G7" s="53" t="s">
        <v>531</v>
      </c>
      <c r="H7" s="54" t="s">
        <v>494</v>
      </c>
      <c r="I7" s="53" t="s">
        <v>490</v>
      </c>
      <c r="J7" s="53" t="s">
        <v>491</v>
      </c>
      <c r="K7" s="53" t="s">
        <v>500</v>
      </c>
      <c r="M7" s="41"/>
    </row>
    <row r="8" spans="1:15" x14ac:dyDescent="0.25">
      <c r="A8" s="9">
        <v>7</v>
      </c>
      <c r="B8" s="25" t="s">
        <v>234</v>
      </c>
      <c r="C8" s="53" t="s">
        <v>26</v>
      </c>
      <c r="D8" s="53" t="s">
        <v>252</v>
      </c>
      <c r="E8" s="53" t="s">
        <v>528</v>
      </c>
      <c r="F8" s="54" t="s">
        <v>189</v>
      </c>
      <c r="G8" s="54" t="s">
        <v>253</v>
      </c>
      <c r="H8" s="54" t="s">
        <v>413</v>
      </c>
      <c r="I8" s="54" t="s">
        <v>414</v>
      </c>
      <c r="J8" s="41"/>
      <c r="K8" s="41"/>
      <c r="L8" s="41"/>
      <c r="M8" s="41"/>
    </row>
    <row r="9" spans="1:15" x14ac:dyDescent="0.25">
      <c r="A9" s="9">
        <f t="shared" ref="A9:A30" si="0">SUM((A8+1))</f>
        <v>8</v>
      </c>
      <c r="B9" s="27" t="s">
        <v>25</v>
      </c>
      <c r="C9" s="53" t="s">
        <v>32</v>
      </c>
      <c r="D9" s="53" t="s">
        <v>62</v>
      </c>
      <c r="E9" s="53" t="s">
        <v>122</v>
      </c>
      <c r="F9" s="53" t="s">
        <v>63</v>
      </c>
      <c r="G9" s="53" t="s">
        <v>376</v>
      </c>
      <c r="H9" s="54" t="s">
        <v>353</v>
      </c>
      <c r="I9" s="54" t="s">
        <v>354</v>
      </c>
      <c r="J9" s="54" t="s">
        <v>355</v>
      </c>
      <c r="K9" s="54" t="s">
        <v>356</v>
      </c>
      <c r="L9" s="54" t="s">
        <v>357</v>
      </c>
      <c r="M9" s="54" t="s">
        <v>358</v>
      </c>
      <c r="N9" s="12" t="s">
        <v>492</v>
      </c>
      <c r="O9" s="12" t="s">
        <v>504</v>
      </c>
    </row>
    <row r="10" spans="1:15" x14ac:dyDescent="0.25">
      <c r="A10" s="9">
        <f t="shared" si="0"/>
        <v>9</v>
      </c>
      <c r="B10" s="28" t="s">
        <v>69</v>
      </c>
      <c r="C10" s="53" t="s">
        <v>444</v>
      </c>
      <c r="D10" s="53" t="s">
        <v>274</v>
      </c>
      <c r="E10" s="54" t="s">
        <v>275</v>
      </c>
      <c r="F10" s="54" t="s">
        <v>276</v>
      </c>
      <c r="G10" s="54" t="s">
        <v>277</v>
      </c>
      <c r="H10" s="54" t="s">
        <v>278</v>
      </c>
      <c r="I10" s="54" t="s">
        <v>279</v>
      </c>
      <c r="J10" s="54" t="s">
        <v>280</v>
      </c>
      <c r="K10" s="54" t="s">
        <v>281</v>
      </c>
      <c r="L10" s="54" t="s">
        <v>282</v>
      </c>
      <c r="M10" s="41"/>
    </row>
    <row r="11" spans="1:15" x14ac:dyDescent="0.25">
      <c r="A11" s="9">
        <f t="shared" si="0"/>
        <v>10</v>
      </c>
      <c r="B11" s="24" t="s">
        <v>227</v>
      </c>
      <c r="C11" s="41" t="s">
        <v>47</v>
      </c>
      <c r="D11" s="41" t="s">
        <v>101</v>
      </c>
      <c r="E11" s="54" t="s">
        <v>257</v>
      </c>
      <c r="F11" s="54" t="s">
        <v>502</v>
      </c>
      <c r="G11" s="41"/>
      <c r="H11" s="41"/>
      <c r="I11" s="41"/>
      <c r="J11" s="41"/>
      <c r="K11" s="41"/>
      <c r="L11" s="41"/>
      <c r="M11" s="41"/>
    </row>
    <row r="12" spans="1:15" x14ac:dyDescent="0.25">
      <c r="A12" s="9">
        <f t="shared" si="0"/>
        <v>11</v>
      </c>
      <c r="B12" s="25" t="s">
        <v>6</v>
      </c>
      <c r="C12" s="53" t="s">
        <v>319</v>
      </c>
      <c r="D12" s="53" t="s">
        <v>320</v>
      </c>
      <c r="E12" s="53" t="s">
        <v>72</v>
      </c>
      <c r="F12" s="54" t="s">
        <v>51</v>
      </c>
      <c r="G12" s="53" t="s">
        <v>428</v>
      </c>
      <c r="H12" s="53" t="s">
        <v>321</v>
      </c>
      <c r="I12" s="53" t="s">
        <v>322</v>
      </c>
      <c r="J12" s="53" t="s">
        <v>323</v>
      </c>
      <c r="K12" s="41" t="s">
        <v>324</v>
      </c>
      <c r="L12" s="41" t="s">
        <v>325</v>
      </c>
      <c r="M12" s="41" t="s">
        <v>326</v>
      </c>
      <c r="N12" s="15" t="s">
        <v>407</v>
      </c>
      <c r="O12" s="15" t="s">
        <v>327</v>
      </c>
    </row>
    <row r="13" spans="1:15" x14ac:dyDescent="0.25">
      <c r="A13" s="9">
        <f t="shared" si="0"/>
        <v>12</v>
      </c>
      <c r="B13" s="25" t="s">
        <v>435</v>
      </c>
      <c r="C13" s="41" t="s">
        <v>439</v>
      </c>
      <c r="D13" s="41" t="s">
        <v>449</v>
      </c>
      <c r="E13" s="41" t="s">
        <v>440</v>
      </c>
      <c r="F13" s="53" t="s">
        <v>436</v>
      </c>
      <c r="G13" s="54" t="s">
        <v>437</v>
      </c>
      <c r="H13" s="54" t="s">
        <v>438</v>
      </c>
      <c r="I13" s="54" t="s">
        <v>505</v>
      </c>
      <c r="J13" s="41"/>
      <c r="K13" s="41"/>
      <c r="L13" s="41"/>
      <c r="M13" s="41"/>
      <c r="N13" s="15"/>
      <c r="O13" s="15"/>
    </row>
    <row r="14" spans="1:15" x14ac:dyDescent="0.25">
      <c r="A14" s="9">
        <f t="shared" si="0"/>
        <v>13</v>
      </c>
      <c r="B14" s="25" t="s">
        <v>228</v>
      </c>
      <c r="C14" s="41" t="s">
        <v>73</v>
      </c>
      <c r="D14" s="41" t="s">
        <v>74</v>
      </c>
      <c r="E14" s="41" t="s">
        <v>75</v>
      </c>
      <c r="F14" s="41" t="s">
        <v>76</v>
      </c>
      <c r="G14" s="41" t="s">
        <v>77</v>
      </c>
      <c r="H14" s="41" t="s">
        <v>483</v>
      </c>
      <c r="I14" s="41" t="s">
        <v>78</v>
      </c>
      <c r="J14" s="41" t="s">
        <v>79</v>
      </c>
      <c r="K14" s="41" t="s">
        <v>334</v>
      </c>
      <c r="L14" s="41" t="s">
        <v>80</v>
      </c>
      <c r="M14" s="41" t="s">
        <v>238</v>
      </c>
    </row>
    <row r="15" spans="1:15" x14ac:dyDescent="0.25">
      <c r="A15" s="9">
        <f t="shared" si="0"/>
        <v>14</v>
      </c>
      <c r="B15" s="24" t="s">
        <v>230</v>
      </c>
      <c r="C15" s="53" t="s">
        <v>65</v>
      </c>
      <c r="D15" s="53" t="s">
        <v>66</v>
      </c>
      <c r="E15" s="53" t="s">
        <v>268</v>
      </c>
      <c r="F15" s="53" t="s">
        <v>269</v>
      </c>
      <c r="G15" s="53" t="s">
        <v>374</v>
      </c>
      <c r="H15" s="53" t="s">
        <v>409</v>
      </c>
      <c r="I15" s="53" t="s">
        <v>532</v>
      </c>
      <c r="J15" s="41"/>
      <c r="K15" s="41"/>
      <c r="L15" s="41"/>
      <c r="M15" s="41"/>
    </row>
    <row r="16" spans="1:15" x14ac:dyDescent="0.25">
      <c r="A16" s="9">
        <f t="shared" si="0"/>
        <v>15</v>
      </c>
      <c r="B16" s="25" t="s">
        <v>7</v>
      </c>
      <c r="C16" s="53" t="s">
        <v>39</v>
      </c>
      <c r="D16" s="53" t="s">
        <v>40</v>
      </c>
      <c r="E16" s="53" t="s">
        <v>27</v>
      </c>
      <c r="F16" s="53" t="s">
        <v>86</v>
      </c>
      <c r="G16" s="53" t="s">
        <v>28</v>
      </c>
      <c r="H16" s="53" t="s">
        <v>402</v>
      </c>
      <c r="I16" s="53"/>
      <c r="J16" s="41"/>
      <c r="K16" s="41"/>
      <c r="L16" s="41"/>
      <c r="M16" s="41"/>
    </row>
    <row r="17" spans="1:17" x14ac:dyDescent="0.25">
      <c r="A17" s="9">
        <f t="shared" si="0"/>
        <v>16</v>
      </c>
      <c r="B17" s="24" t="s">
        <v>8</v>
      </c>
      <c r="C17" s="53" t="s">
        <v>239</v>
      </c>
      <c r="D17" s="53" t="s">
        <v>52</v>
      </c>
      <c r="E17" s="53" t="s">
        <v>386</v>
      </c>
      <c r="F17" s="53" t="s">
        <v>53</v>
      </c>
      <c r="G17" s="53" t="s">
        <v>54</v>
      </c>
      <c r="H17" s="53" t="s">
        <v>258</v>
      </c>
      <c r="I17" s="53" t="s">
        <v>259</v>
      </c>
      <c r="J17" s="53" t="s">
        <v>260</v>
      </c>
      <c r="K17" s="53" t="s">
        <v>261</v>
      </c>
      <c r="L17" s="53" t="s">
        <v>533</v>
      </c>
      <c r="M17" s="53" t="s">
        <v>534</v>
      </c>
      <c r="N17" s="53" t="s">
        <v>535</v>
      </c>
      <c r="O17" s="53" t="s">
        <v>536</v>
      </c>
      <c r="P17" s="41"/>
      <c r="Q17" s="41"/>
    </row>
    <row r="18" spans="1:17" x14ac:dyDescent="0.25">
      <c r="A18" s="9">
        <f t="shared" si="0"/>
        <v>17</v>
      </c>
      <c r="B18" s="25" t="s">
        <v>489</v>
      </c>
      <c r="C18" s="53" t="s">
        <v>123</v>
      </c>
      <c r="D18" s="53" t="s">
        <v>124</v>
      </c>
      <c r="E18" s="53" t="s">
        <v>389</v>
      </c>
      <c r="F18" s="53" t="s">
        <v>249</v>
      </c>
      <c r="G18" s="53" t="s">
        <v>125</v>
      </c>
      <c r="H18" s="53" t="s">
        <v>126</v>
      </c>
      <c r="I18" s="53" t="s">
        <v>240</v>
      </c>
      <c r="J18" s="53" t="s">
        <v>241</v>
      </c>
      <c r="K18" s="53" t="s">
        <v>250</v>
      </c>
      <c r="L18" s="53" t="s">
        <v>251</v>
      </c>
      <c r="M18" s="53" t="s">
        <v>396</v>
      </c>
    </row>
    <row r="19" spans="1:17" x14ac:dyDescent="0.25">
      <c r="A19" s="9">
        <f t="shared" si="0"/>
        <v>18</v>
      </c>
      <c r="B19" s="25" t="s">
        <v>9</v>
      </c>
      <c r="C19" s="53" t="s">
        <v>377</v>
      </c>
      <c r="D19" s="53" t="s">
        <v>378</v>
      </c>
      <c r="E19" s="53" t="s">
        <v>55</v>
      </c>
      <c r="F19" s="53" t="s">
        <v>56</v>
      </c>
      <c r="G19" s="54" t="s">
        <v>397</v>
      </c>
      <c r="H19" s="54" t="s">
        <v>380</v>
      </c>
      <c r="I19" s="54" t="s">
        <v>404</v>
      </c>
      <c r="J19" s="41" t="s">
        <v>499</v>
      </c>
      <c r="K19" s="41"/>
      <c r="L19" s="41"/>
      <c r="M19" s="41"/>
    </row>
    <row r="20" spans="1:17" x14ac:dyDescent="0.25">
      <c r="A20" s="9">
        <f t="shared" si="0"/>
        <v>19</v>
      </c>
      <c r="B20" s="27" t="s">
        <v>61</v>
      </c>
      <c r="C20" s="53" t="s">
        <v>398</v>
      </c>
      <c r="D20" s="53" t="s">
        <v>399</v>
      </c>
      <c r="E20" s="54" t="s">
        <v>400</v>
      </c>
      <c r="F20" s="54" t="s">
        <v>401</v>
      </c>
      <c r="G20" s="54"/>
      <c r="H20" s="54"/>
      <c r="I20" s="54"/>
      <c r="J20" s="54"/>
      <c r="K20" s="41"/>
      <c r="L20" s="41"/>
      <c r="M20" s="41"/>
    </row>
    <row r="21" spans="1:17" x14ac:dyDescent="0.25">
      <c r="A21" s="9">
        <f t="shared" si="0"/>
        <v>20</v>
      </c>
      <c r="B21" s="25" t="s">
        <v>233</v>
      </c>
      <c r="C21" s="53" t="s">
        <v>42</v>
      </c>
      <c r="D21" s="53" t="s">
        <v>43</v>
      </c>
      <c r="E21" s="53" t="s">
        <v>46</v>
      </c>
      <c r="F21" s="53" t="s">
        <v>44</v>
      </c>
      <c r="G21" s="53" t="s">
        <v>45</v>
      </c>
      <c r="H21" s="54" t="s">
        <v>84</v>
      </c>
      <c r="I21" s="54" t="s">
        <v>85</v>
      </c>
      <c r="J21" s="41"/>
      <c r="K21" s="41"/>
      <c r="L21" s="41"/>
      <c r="M21" s="41"/>
    </row>
    <row r="22" spans="1:17" x14ac:dyDescent="0.25">
      <c r="A22" s="9">
        <f t="shared" si="0"/>
        <v>21</v>
      </c>
      <c r="B22" s="25" t="s">
        <v>10</v>
      </c>
      <c r="C22" s="53" t="s">
        <v>32</v>
      </c>
      <c r="D22" s="53" t="s">
        <v>509</v>
      </c>
      <c r="E22" s="53" t="s">
        <v>332</v>
      </c>
      <c r="F22" s="53" t="s">
        <v>333</v>
      </c>
      <c r="G22" s="53" t="s">
        <v>329</v>
      </c>
      <c r="H22" s="53" t="s">
        <v>331</v>
      </c>
      <c r="I22" s="53" t="s">
        <v>81</v>
      </c>
      <c r="J22" s="53" t="s">
        <v>82</v>
      </c>
      <c r="K22" s="53" t="s">
        <v>83</v>
      </c>
      <c r="L22" s="53" t="s">
        <v>100</v>
      </c>
      <c r="M22" s="41"/>
    </row>
    <row r="23" spans="1:17" x14ac:dyDescent="0.25">
      <c r="A23" s="9">
        <f t="shared" si="0"/>
        <v>22</v>
      </c>
      <c r="B23" s="25" t="s">
        <v>229</v>
      </c>
      <c r="C23" s="41" t="s">
        <v>256</v>
      </c>
      <c r="D23" s="41" t="s">
        <v>254</v>
      </c>
      <c r="E23" s="41" t="s">
        <v>255</v>
      </c>
      <c r="F23" s="53" t="s">
        <v>503</v>
      </c>
      <c r="G23" s="54" t="s">
        <v>529</v>
      </c>
      <c r="H23" s="54" t="s">
        <v>49</v>
      </c>
      <c r="I23" s="54" t="s">
        <v>512</v>
      </c>
      <c r="J23" s="54" t="s">
        <v>452</v>
      </c>
      <c r="K23" s="41"/>
      <c r="L23" s="41"/>
      <c r="M23" s="41"/>
    </row>
    <row r="24" spans="1:17" x14ac:dyDescent="0.25">
      <c r="A24" s="9">
        <f t="shared" si="0"/>
        <v>23</v>
      </c>
      <c r="B24" s="25" t="s">
        <v>11</v>
      </c>
      <c r="C24" s="53" t="s">
        <v>266</v>
      </c>
      <c r="D24" s="53" t="s">
        <v>267</v>
      </c>
      <c r="E24" s="53" t="s">
        <v>50</v>
      </c>
      <c r="F24" s="53" t="s">
        <v>359</v>
      </c>
      <c r="G24" s="53" t="s">
        <v>387</v>
      </c>
      <c r="H24" s="53" t="s">
        <v>475</v>
      </c>
      <c r="I24" s="53" t="s">
        <v>514</v>
      </c>
      <c r="J24" s="53" t="s">
        <v>513</v>
      </c>
      <c r="K24" s="53" t="s">
        <v>57</v>
      </c>
      <c r="L24" s="53" t="s">
        <v>58</v>
      </c>
      <c r="M24" s="53" t="s">
        <v>67</v>
      </c>
    </row>
    <row r="25" spans="1:17" x14ac:dyDescent="0.25">
      <c r="A25" s="9">
        <f t="shared" si="0"/>
        <v>24</v>
      </c>
      <c r="B25" s="25" t="s">
        <v>12</v>
      </c>
      <c r="C25" s="53" t="s">
        <v>30</v>
      </c>
      <c r="D25" s="53" t="s">
        <v>31</v>
      </c>
      <c r="E25" s="53" t="s">
        <v>29</v>
      </c>
      <c r="F25" s="53" t="s">
        <v>403</v>
      </c>
      <c r="G25" s="53" t="s">
        <v>367</v>
      </c>
      <c r="H25" s="53" t="s">
        <v>368</v>
      </c>
      <c r="I25" s="41" t="s">
        <v>510</v>
      </c>
      <c r="J25" s="41"/>
      <c r="K25" s="41"/>
      <c r="L25" s="41"/>
      <c r="M25" s="41"/>
    </row>
    <row r="26" spans="1:17" x14ac:dyDescent="0.25">
      <c r="A26" s="9">
        <f t="shared" si="0"/>
        <v>25</v>
      </c>
      <c r="B26" s="25" t="s">
        <v>13</v>
      </c>
      <c r="C26" s="53" t="s">
        <v>441</v>
      </c>
      <c r="D26" s="53" t="s">
        <v>442</v>
      </c>
      <c r="E26" s="53" t="s">
        <v>64</v>
      </c>
      <c r="F26" s="53" t="s">
        <v>412</v>
      </c>
      <c r="G26" s="53" t="s">
        <v>410</v>
      </c>
      <c r="H26" s="54" t="s">
        <v>408</v>
      </c>
      <c r="I26" s="54" t="s">
        <v>411</v>
      </c>
      <c r="J26" s="54" t="s">
        <v>443</v>
      </c>
      <c r="K26" s="54"/>
      <c r="L26" s="41"/>
      <c r="M26" s="41"/>
    </row>
    <row r="27" spans="1:17" x14ac:dyDescent="0.25">
      <c r="A27" s="9">
        <f t="shared" si="0"/>
        <v>26</v>
      </c>
      <c r="B27" s="24" t="s">
        <v>187</v>
      </c>
      <c r="C27" s="53" t="s">
        <v>188</v>
      </c>
      <c r="D27" s="53" t="s">
        <v>470</v>
      </c>
      <c r="E27" s="53" t="s">
        <v>469</v>
      </c>
      <c r="F27" s="54" t="s">
        <v>375</v>
      </c>
      <c r="G27" s="54" t="s">
        <v>388</v>
      </c>
      <c r="H27" s="54" t="s">
        <v>537</v>
      </c>
      <c r="I27" s="54" t="s">
        <v>538</v>
      </c>
      <c r="J27" s="54"/>
      <c r="K27" s="41"/>
      <c r="L27" s="41"/>
      <c r="M27" s="41"/>
    </row>
    <row r="28" spans="1:17" x14ac:dyDescent="0.25">
      <c r="A28" s="9">
        <f t="shared" si="0"/>
        <v>27</v>
      </c>
      <c r="B28" s="24" t="s">
        <v>507</v>
      </c>
      <c r="C28" s="53" t="s">
        <v>511</v>
      </c>
      <c r="D28" s="53" t="s">
        <v>517</v>
      </c>
      <c r="E28" s="53" t="s">
        <v>515</v>
      </c>
      <c r="F28" s="54" t="s">
        <v>518</v>
      </c>
      <c r="G28" s="53" t="s">
        <v>516</v>
      </c>
      <c r="H28" s="53" t="s">
        <v>519</v>
      </c>
      <c r="I28" s="53" t="s">
        <v>520</v>
      </c>
      <c r="J28" s="41" t="s">
        <v>525</v>
      </c>
      <c r="K28" s="41" t="s">
        <v>526</v>
      </c>
      <c r="L28" s="41" t="s">
        <v>521</v>
      </c>
      <c r="M28" s="41" t="s">
        <v>524</v>
      </c>
      <c r="N28" s="41" t="s">
        <v>522</v>
      </c>
      <c r="O28" s="41" t="s">
        <v>523</v>
      </c>
    </row>
    <row r="29" spans="1:17" x14ac:dyDescent="0.25">
      <c r="A29" s="9">
        <f t="shared" si="0"/>
        <v>28</v>
      </c>
      <c r="B29" s="28" t="s">
        <v>232</v>
      </c>
      <c r="C29" s="53" t="s">
        <v>262</v>
      </c>
      <c r="D29" s="53" t="s">
        <v>390</v>
      </c>
      <c r="E29" s="53" t="s">
        <v>263</v>
      </c>
      <c r="F29" s="54" t="s">
        <v>379</v>
      </c>
      <c r="G29" s="54" t="s">
        <v>265</v>
      </c>
      <c r="H29" s="54" t="s">
        <v>264</v>
      </c>
      <c r="I29" s="41" t="s">
        <v>476</v>
      </c>
      <c r="J29" s="41" t="s">
        <v>477</v>
      </c>
      <c r="K29" s="41" t="s">
        <v>468</v>
      </c>
      <c r="L29" s="41"/>
      <c r="M29" s="41"/>
    </row>
    <row r="30" spans="1:17" ht="13.8" x14ac:dyDescent="0.25">
      <c r="A30" s="9">
        <f t="shared" si="0"/>
        <v>29</v>
      </c>
      <c r="B30" s="26">
        <v>911</v>
      </c>
      <c r="C30" s="53" t="s">
        <v>60</v>
      </c>
      <c r="D30" s="53" t="s">
        <v>394</v>
      </c>
      <c r="E30" s="53" t="s">
        <v>395</v>
      </c>
      <c r="F30" s="53" t="s">
        <v>68</v>
      </c>
      <c r="G30" s="54" t="s">
        <v>59</v>
      </c>
      <c r="H30" s="53" t="s">
        <v>493</v>
      </c>
      <c r="I30" s="53"/>
      <c r="J30" s="41"/>
      <c r="K30" s="41"/>
      <c r="L30" s="55"/>
      <c r="M30" s="56"/>
      <c r="N30" s="46"/>
      <c r="O30" s="46"/>
      <c r="P30" s="46"/>
      <c r="Q30" s="46"/>
    </row>
    <row r="31" spans="1:17" x14ac:dyDescent="0.25">
      <c r="A31" s="61"/>
      <c r="B31" s="59"/>
      <c r="N31" s="15"/>
      <c r="O31" s="15"/>
      <c r="P31" s="15"/>
      <c r="Q31" s="15"/>
    </row>
    <row r="32" spans="1:17" x14ac:dyDescent="0.25">
      <c r="K32" s="15" t="s">
        <v>330</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O6" sqref="O6"/>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6.88671875" style="1" customWidth="1"/>
    <col min="13" max="13" width="7.88671875" style="1" customWidth="1"/>
    <col min="14" max="14" width="7.5546875" style="1" customWidth="1"/>
    <col min="15" max="15" width="7.6640625" style="1" customWidth="1"/>
    <col min="16" max="16" width="8.44140625" style="1" customWidth="1"/>
    <col min="17" max="17" width="12" style="1" customWidth="1"/>
    <col min="18" max="16384" width="9.109375" style="1"/>
  </cols>
  <sheetData>
    <row r="1" spans="1:17" ht="22.8" x14ac:dyDescent="0.25">
      <c r="A1" s="64" t="s">
        <v>220</v>
      </c>
      <c r="B1" s="2"/>
      <c r="C1" s="2"/>
      <c r="D1" s="2"/>
      <c r="E1" s="2"/>
      <c r="F1" s="2"/>
      <c r="G1" s="2"/>
      <c r="H1" s="2"/>
      <c r="I1" s="2"/>
      <c r="J1" s="7"/>
      <c r="K1" s="2"/>
      <c r="L1" s="2"/>
      <c r="M1" s="2"/>
      <c r="N1" s="2"/>
      <c r="O1" s="2"/>
      <c r="P1" s="39"/>
      <c r="Q1" s="39"/>
    </row>
    <row r="2" spans="1:17" ht="17.399999999999999" x14ac:dyDescent="0.25">
      <c r="A2" s="65" t="s">
        <v>0</v>
      </c>
      <c r="B2" s="2"/>
      <c r="C2" s="2"/>
      <c r="D2" s="2"/>
      <c r="E2" s="2"/>
      <c r="F2" s="2"/>
      <c r="G2" s="2"/>
      <c r="H2" s="2"/>
      <c r="I2" s="2"/>
      <c r="J2" s="2"/>
      <c r="K2" s="2"/>
      <c r="L2" s="2"/>
      <c r="M2" s="2"/>
      <c r="N2" s="2"/>
      <c r="O2" s="2"/>
      <c r="P2" s="39"/>
      <c r="Q2" s="39"/>
    </row>
    <row r="3" spans="1:17" ht="30.75" customHeight="1" x14ac:dyDescent="0.25">
      <c r="A3" s="3"/>
      <c r="B3" s="2"/>
      <c r="C3" s="2"/>
      <c r="D3" s="2"/>
      <c r="E3" s="2"/>
      <c r="F3" s="2"/>
      <c r="G3" s="2"/>
      <c r="H3" s="2"/>
      <c r="I3" s="2"/>
      <c r="J3" s="2"/>
      <c r="K3" s="2"/>
      <c r="L3" s="2"/>
      <c r="M3" s="2"/>
      <c r="N3" s="2"/>
      <c r="O3" s="2"/>
      <c r="P3" s="39"/>
      <c r="Q3" s="39"/>
    </row>
    <row r="4" spans="1:17" ht="3" customHeight="1" x14ac:dyDescent="0.25">
      <c r="A4" s="71"/>
      <c r="B4" s="71"/>
      <c r="C4" s="71"/>
      <c r="D4" s="71"/>
      <c r="E4" s="71"/>
      <c r="F4" s="71"/>
      <c r="G4" s="71"/>
      <c r="H4" s="71"/>
      <c r="I4" s="71"/>
      <c r="J4" s="71"/>
      <c r="K4" s="71"/>
      <c r="L4" s="71"/>
      <c r="M4" s="71"/>
      <c r="N4" s="71"/>
      <c r="O4" s="71"/>
      <c r="P4" s="71"/>
      <c r="Q4" s="71"/>
    </row>
    <row r="5" spans="1:17" ht="9.75" customHeight="1" x14ac:dyDescent="0.25">
      <c r="A5" s="4"/>
      <c r="B5" s="2"/>
      <c r="C5" s="2"/>
      <c r="D5" s="2"/>
      <c r="E5" s="2"/>
      <c r="F5" s="2"/>
      <c r="G5" s="2"/>
      <c r="H5" s="2"/>
      <c r="I5" s="2"/>
      <c r="J5" s="2"/>
      <c r="K5" s="2"/>
      <c r="L5" s="2"/>
      <c r="M5" s="2"/>
      <c r="N5" s="2"/>
      <c r="O5" s="40"/>
      <c r="P5" s="39"/>
      <c r="Q5" s="39"/>
    </row>
    <row r="6" spans="1:17" ht="15.6" x14ac:dyDescent="0.25">
      <c r="A6" s="4"/>
      <c r="B6" s="2"/>
      <c r="C6" s="2"/>
      <c r="D6" s="2"/>
      <c r="E6" s="2"/>
      <c r="F6" s="2"/>
      <c r="G6" s="2"/>
      <c r="H6" s="2"/>
      <c r="I6" s="2"/>
      <c r="J6" s="2"/>
      <c r="K6" s="2"/>
      <c r="L6" s="2"/>
      <c r="M6" s="2"/>
      <c r="N6" s="2" t="s">
        <v>330</v>
      </c>
      <c r="O6" s="1" t="s">
        <v>501</v>
      </c>
      <c r="P6" s="39"/>
      <c r="Q6" s="72">
        <v>1</v>
      </c>
    </row>
    <row r="7" spans="1:17" ht="15" x14ac:dyDescent="0.25">
      <c r="A7" s="66" t="s">
        <v>1</v>
      </c>
      <c r="B7" s="92" t="str">
        <f>VLOOKUP(Q6,'Code Sheet'!A1:G34,2,TRUE)</f>
        <v>Agri-Civic Center</v>
      </c>
      <c r="C7" s="92"/>
      <c r="D7" s="92"/>
      <c r="E7" s="2"/>
      <c r="F7" s="2"/>
      <c r="G7" s="2"/>
      <c r="H7" s="66" t="s">
        <v>41</v>
      </c>
      <c r="I7" s="67"/>
      <c r="J7" s="73">
        <v>2018</v>
      </c>
      <c r="K7" s="2"/>
      <c r="L7" s="2"/>
      <c r="M7" s="2"/>
      <c r="N7"/>
      <c r="O7" s="2" t="s">
        <v>330</v>
      </c>
      <c r="P7" s="39" t="s">
        <v>330</v>
      </c>
      <c r="Q7" s="39"/>
    </row>
    <row r="8" spans="1:17" ht="7.5" customHeight="1" x14ac:dyDescent="0.25">
      <c r="A8" s="2"/>
      <c r="B8" s="2"/>
      <c r="C8" s="2"/>
      <c r="D8" s="2"/>
      <c r="E8" s="2"/>
      <c r="F8" s="2"/>
      <c r="G8" s="2"/>
      <c r="H8" s="2"/>
      <c r="I8" s="2"/>
      <c r="J8" s="2"/>
      <c r="K8" s="2"/>
      <c r="L8" s="2"/>
      <c r="M8" s="2" t="s">
        <v>330</v>
      </c>
      <c r="N8" s="2"/>
      <c r="O8" t="s">
        <v>330</v>
      </c>
      <c r="P8" s="39"/>
      <c r="Q8" s="39"/>
    </row>
    <row r="9" spans="1:17" ht="9.75" customHeight="1" thickBot="1" x14ac:dyDescent="0.3">
      <c r="A9" s="2"/>
      <c r="B9" s="2"/>
      <c r="C9" s="2"/>
      <c r="D9" s="2"/>
      <c r="E9" s="2"/>
      <c r="F9" s="2"/>
      <c r="G9" s="2"/>
      <c r="H9" s="2"/>
      <c r="I9" s="2"/>
      <c r="J9" s="2"/>
      <c r="K9" s="2"/>
      <c r="L9" s="2"/>
      <c r="M9" s="2"/>
      <c r="N9" s="2"/>
      <c r="O9" s="2"/>
      <c r="P9" s="39"/>
      <c r="Q9" s="39"/>
    </row>
    <row r="10" spans="1:17" ht="14.4" thickTop="1" thickBot="1" x14ac:dyDescent="0.3">
      <c r="A10" s="85" t="s">
        <v>2</v>
      </c>
      <c r="B10" s="86"/>
      <c r="C10" s="87"/>
      <c r="D10" s="74"/>
      <c r="E10" s="74"/>
      <c r="F10" s="74"/>
      <c r="G10" s="74"/>
      <c r="H10" s="74"/>
      <c r="I10" s="74"/>
      <c r="J10" s="74"/>
      <c r="K10" s="74"/>
      <c r="L10" s="74"/>
      <c r="M10" s="75"/>
      <c r="N10" s="74"/>
      <c r="O10" s="74"/>
      <c r="P10" s="76"/>
      <c r="Q10" s="77"/>
    </row>
    <row r="11" spans="1:17" x14ac:dyDescent="0.25">
      <c r="A11" s="78"/>
      <c r="B11" s="68"/>
      <c r="C11" s="68"/>
      <c r="D11" s="83" t="s">
        <v>87</v>
      </c>
      <c r="E11" s="83" t="s">
        <v>88</v>
      </c>
      <c r="F11" s="83" t="s">
        <v>89</v>
      </c>
      <c r="G11" s="83" t="s">
        <v>15</v>
      </c>
      <c r="H11" s="83" t="s">
        <v>16</v>
      </c>
      <c r="I11" s="83" t="s">
        <v>17</v>
      </c>
      <c r="J11" s="83" t="s">
        <v>33</v>
      </c>
      <c r="K11" s="83" t="s">
        <v>34</v>
      </c>
      <c r="L11" s="83" t="s">
        <v>35</v>
      </c>
      <c r="M11" s="83" t="s">
        <v>36</v>
      </c>
      <c r="N11" s="83" t="s">
        <v>37</v>
      </c>
      <c r="O11" s="83" t="s">
        <v>38</v>
      </c>
      <c r="P11" s="83" t="s">
        <v>454</v>
      </c>
      <c r="Q11" s="84" t="s">
        <v>455</v>
      </c>
    </row>
    <row r="12" spans="1:17" ht="30" customHeight="1" x14ac:dyDescent="0.25">
      <c r="A12" s="88" t="str">
        <f>VLOOKUP(Q6,'Code Sheet'!A1:G34,3,TRUE)</f>
        <v xml:space="preserve">$ Total revenue </v>
      </c>
      <c r="B12" s="89"/>
      <c r="C12" s="89"/>
      <c r="D12" s="69">
        <f>VLOOKUP(Q6,'SRT Data'!A:EZ,3,TRUE)</f>
        <v>5782</v>
      </c>
      <c r="E12" s="69">
        <f>VLOOKUP(Q6,'SRT Data'!A:EZ,16,TRUE)</f>
        <v>4287</v>
      </c>
      <c r="F12" s="69">
        <f>VLOOKUP(Q6,'SRT Data'!A:EZ,29,TRUE)</f>
        <v>4123</v>
      </c>
      <c r="G12" s="69">
        <f>VLOOKUP(Q6,'SRT Data'!A:FA,42,TRUE)</f>
        <v>2982</v>
      </c>
      <c r="H12" s="69">
        <f>VLOOKUP(Q6,'SRT Data'!A:FA,55,TRUE)</f>
        <v>1865</v>
      </c>
      <c r="I12" s="69">
        <f>VLOOKUP(Q6,'SRT Data'!A:FA,68,TRUE)</f>
        <v>0</v>
      </c>
      <c r="J12" s="69">
        <f>VLOOKUP(Q6,'SRT Data'!A:FA,81,TRUE)</f>
        <v>0</v>
      </c>
      <c r="K12" s="69">
        <f>VLOOKUP(Q6,'SRT Data'!A:FA,94,TRUE)</f>
        <v>0</v>
      </c>
      <c r="L12" s="69">
        <f>VLOOKUP(Q6,'SRT Data'!A:FA,107,TRUE)</f>
        <v>0</v>
      </c>
      <c r="M12" s="69">
        <f>VLOOKUP(Q6,'SRT Data'!A:FA,120,TRUE)</f>
        <v>0</v>
      </c>
      <c r="N12" s="69">
        <f>VLOOKUP(Q6,'SRT Data'!A:FA,133,TRUE)</f>
        <v>0</v>
      </c>
      <c r="O12" s="69">
        <f>VLOOKUP(Q6,'SRT Data'!A:FB,146,TRUE)</f>
        <v>0</v>
      </c>
      <c r="P12" s="70">
        <f>VLOOKUP(Q6,'SRT Data'!A:FO,159,TRUE)</f>
        <v>60000</v>
      </c>
      <c r="Q12" s="79">
        <f>SUM(D12:O12)/P12</f>
        <v>0.31731666666666669</v>
      </c>
    </row>
    <row r="13" spans="1:17" ht="30" customHeight="1" x14ac:dyDescent="0.25">
      <c r="A13" s="88" t="str">
        <f>VLOOKUP(Q6,'Code Sheet'!A1:G34,4,TRUE)</f>
        <v xml:space="preserve"># Paid events </v>
      </c>
      <c r="B13" s="89"/>
      <c r="C13" s="89"/>
      <c r="D13" s="69">
        <f>VLOOKUP(Q6,'SRT Data'!A:EZ,4,TRUE)</f>
        <v>3</v>
      </c>
      <c r="E13" s="69">
        <f>VLOOKUP(Q6,'SRT Data'!A:EZ,17,TRUE)</f>
        <v>4</v>
      </c>
      <c r="F13" s="69">
        <f>VLOOKUP(Q6,'SRT Data'!A:EZ,30,TRUE)</f>
        <v>7</v>
      </c>
      <c r="G13" s="69">
        <f>VLOOKUP(Q6,'SRT Data'!A:FA,43,TRUE)</f>
        <v>4</v>
      </c>
      <c r="H13" s="69">
        <f>VLOOKUP(Q6,'SRT Data'!A:FA,56,TRUE)</f>
        <v>1</v>
      </c>
      <c r="I13" s="69">
        <f>VLOOKUP(Q6,'SRT Data'!A:FA,69,TRUE)</f>
        <v>0</v>
      </c>
      <c r="J13" s="69">
        <f>VLOOKUP(Q6,'SRT Data'!A:FA,82,TRUE)</f>
        <v>0</v>
      </c>
      <c r="K13" s="69">
        <f>VLOOKUP(Q6,'SRT Data'!A:FA,95,TRUE)</f>
        <v>0</v>
      </c>
      <c r="L13" s="69">
        <f>VLOOKUP(Q6,'SRT Data'!A:FA,108,TRUE)</f>
        <v>0</v>
      </c>
      <c r="M13" s="69">
        <f>VLOOKUP(Q6,'SRT Data'!A:FA,121,TRUE)</f>
        <v>0</v>
      </c>
      <c r="N13" s="69">
        <f>VLOOKUP(Q6,'SRT Data'!A:FA,134,TRUE)</f>
        <v>0</v>
      </c>
      <c r="O13" s="69">
        <f>VLOOKUP(Q6,'SRT Data'!A:FA,147,TRUE)</f>
        <v>0</v>
      </c>
      <c r="P13" s="70">
        <f>VLOOKUP(Q6,'SRT Data'!A:FO,160,TRUE)</f>
        <v>75</v>
      </c>
      <c r="Q13" s="79">
        <f t="shared" ref="Q13:Q24" si="0">SUM(D13:O13)/P13</f>
        <v>0.25333333333333335</v>
      </c>
    </row>
    <row r="14" spans="1:17" ht="30" customHeight="1" x14ac:dyDescent="0.25">
      <c r="A14" s="88" t="str">
        <f>VLOOKUP(Q6,'Code Sheet'!A1:G34,5,TRUE)</f>
        <v># Free events</v>
      </c>
      <c r="B14" s="89"/>
      <c r="C14" s="89"/>
      <c r="D14" s="69">
        <f>VLOOKUP(Q6,'SRT Data'!A:EZ,5,TRUE)</f>
        <v>20</v>
      </c>
      <c r="E14" s="69">
        <f>VLOOKUP(Q6,'SRT Data'!A:EZ,18,TRUE)</f>
        <v>24</v>
      </c>
      <c r="F14" s="69">
        <f>VLOOKUP(Q6,'SRT Data'!A:EZ,31,TRUE)</f>
        <v>22</v>
      </c>
      <c r="G14" s="69">
        <f>VLOOKUP(Q6,'SRT Data'!A:FA,44,TRUE)</f>
        <v>19</v>
      </c>
      <c r="H14" s="69">
        <f>VLOOKUP(Q6,'SRT Data'!A:FA,57,TRUE)</f>
        <v>19</v>
      </c>
      <c r="I14" s="69">
        <f>VLOOKUP(Q6,'SRT Data'!A:FA,70,TRUE)</f>
        <v>0</v>
      </c>
      <c r="J14" s="69">
        <f>VLOOKUP(Q6,'SRT Data'!A:FA,83,TRUE)</f>
        <v>0</v>
      </c>
      <c r="K14" s="69">
        <f>VLOOKUP(Q6,'SRT Data'!A:FA,96,TRUE)</f>
        <v>0</v>
      </c>
      <c r="L14" s="69">
        <f>VLOOKUP(Q6,'SRT Data'!A:FA,109,TRUE)</f>
        <v>0</v>
      </c>
      <c r="M14" s="69">
        <f>VLOOKUP(Q6,'SRT Data'!A:FA,122,TRUE)</f>
        <v>0</v>
      </c>
      <c r="N14" s="69">
        <f>VLOOKUP(Q6,'SRT Data'!A:FA,135,TRUE)</f>
        <v>0</v>
      </c>
      <c r="O14" s="69">
        <f>VLOOKUP(Q6,'SRT Data'!A:FA,148,TRUE)</f>
        <v>0</v>
      </c>
      <c r="P14" s="70">
        <f>VLOOKUP(Q6,'SRT Data'!A:FO,161,TRUE)</f>
        <v>190</v>
      </c>
      <c r="Q14" s="79">
        <f t="shared" si="0"/>
        <v>0.54736842105263162</v>
      </c>
    </row>
    <row r="15" spans="1:17" ht="30" customHeight="1" x14ac:dyDescent="0.25">
      <c r="A15" s="88" t="str">
        <f>VLOOKUP(Q6,'Code Sheet'!A1:G34,6,TRUE)</f>
        <v xml:space="preserve"># Visitors </v>
      </c>
      <c r="B15" s="89"/>
      <c r="C15" s="89"/>
      <c r="D15" s="69">
        <f>VLOOKUP(Q6,'SRT Data'!A:EZ,6,TRUE)</f>
        <v>1538</v>
      </c>
      <c r="E15" s="69">
        <f>VLOOKUP(Q6,'SRT Data'!A:EZ,19,TRUE)</f>
        <v>4995</v>
      </c>
      <c r="F15" s="69">
        <f>VLOOKUP(Q6,'SRT Data'!A:EZ,32,TRUE)</f>
        <v>5352</v>
      </c>
      <c r="G15" s="69">
        <f>VLOOKUP(Q6,'SRT Data'!A:FA,45,TRUE)</f>
        <v>5121</v>
      </c>
      <c r="H15" s="69">
        <f>VLOOKUP(Q6,'SRT Data'!A:FA,58,TRUE)</f>
        <v>2229</v>
      </c>
      <c r="I15" s="69">
        <f>VLOOKUP(Q6,'SRT Data'!A:FA,71,TRUE)</f>
        <v>0</v>
      </c>
      <c r="J15" s="69">
        <f>VLOOKUP(Q6,'SRT Data'!A:FA,84,TRUE)</f>
        <v>0</v>
      </c>
      <c r="K15" s="69">
        <f>VLOOKUP(Q6,'SRT Data'!A:FA,97,TRUE)</f>
        <v>0</v>
      </c>
      <c r="L15" s="69">
        <f>VLOOKUP(Q6,'SRT Data'!A:FA,110,TRUE)</f>
        <v>0</v>
      </c>
      <c r="M15" s="69">
        <f>VLOOKUP(Q6,'SRT Data'!A:FA,123,TRUE)</f>
        <v>0</v>
      </c>
      <c r="N15" s="69">
        <f>VLOOKUP(Q6,'SRT Data'!A:FA,136,TRUE)</f>
        <v>0</v>
      </c>
      <c r="O15" s="69">
        <f>VLOOKUP(Q6,'SRT Data'!A:FA,149,TRUE)</f>
        <v>0</v>
      </c>
      <c r="P15" s="70">
        <f>VLOOKUP(Q6,'SRT Data'!A:FO,162,TRUE)</f>
        <v>45000</v>
      </c>
      <c r="Q15" s="79">
        <f t="shared" si="0"/>
        <v>0.42744444444444446</v>
      </c>
    </row>
    <row r="16" spans="1:17" ht="30" customHeight="1" x14ac:dyDescent="0.25">
      <c r="A16" s="88" t="str">
        <f>VLOOKUP(Q6,'Code Sheet'!A1:G34,7,TRUE)</f>
        <v># Un-rentable days due to rehearsals</v>
      </c>
      <c r="B16" s="89"/>
      <c r="C16" s="89"/>
      <c r="D16" s="69">
        <f>VLOOKUP(Q6,'SRT Data'!A:EZ,7,TRUE)</f>
        <v>20</v>
      </c>
      <c r="E16" s="69">
        <f>VLOOKUP(Q6,'SRT Data'!A:EZ,20,TRUE)</f>
        <v>5</v>
      </c>
      <c r="F16" s="69">
        <f>VLOOKUP(Q6,'SRT Data'!A:EZ,33,TRUE)</f>
        <v>5</v>
      </c>
      <c r="G16" s="69">
        <f>VLOOKUP(Q6,'SRT Data'!A:FA,46,TRUE)</f>
        <v>2</v>
      </c>
      <c r="H16" s="69">
        <f>VLOOKUP(Q6,'SRT Data'!A:FA,59,TRUE)</f>
        <v>1</v>
      </c>
      <c r="I16" s="69">
        <f>VLOOKUP(Q6,'SRT Data'!A:FA,72,TRUE)</f>
        <v>0</v>
      </c>
      <c r="J16" s="69">
        <f>VLOOKUP(Q6,'SRT Data'!A:FA,85,TRUE)</f>
        <v>0</v>
      </c>
      <c r="K16" s="69">
        <f>VLOOKUP(Q6,'SRT Data'!A:FA,98,TRUE)</f>
        <v>0</v>
      </c>
      <c r="L16" s="69">
        <f>VLOOKUP(Q6,'SRT Data'!A:FA,111,TRUE)</f>
        <v>0</v>
      </c>
      <c r="M16" s="69">
        <f>VLOOKUP(Q6,'SRT Data'!A:FA,124,TRUE)</f>
        <v>0</v>
      </c>
      <c r="N16" s="69">
        <f>VLOOKUP(Q6,'SRT Data'!A:FA,137,TRUE)</f>
        <v>0</v>
      </c>
      <c r="O16" s="69">
        <f>VLOOKUP(Q6,'SRT Data'!A:FA,150,TRUE)</f>
        <v>0</v>
      </c>
      <c r="P16" s="70">
        <f>VLOOKUP(Q6,'SRT Data'!A:FO,163,TRUE)</f>
        <v>60</v>
      </c>
      <c r="Q16" s="79">
        <f t="shared" si="0"/>
        <v>0.55000000000000004</v>
      </c>
    </row>
    <row r="17" spans="1:17" ht="30" customHeight="1" x14ac:dyDescent="0.25">
      <c r="A17" s="88">
        <f>VLOOKUP(Q6,'Code Sheet'!A1:L34,8,TRUE)</f>
        <v>0</v>
      </c>
      <c r="B17" s="89"/>
      <c r="C17" s="89"/>
      <c r="D17" s="69">
        <f>VLOOKUP(Q6,'SRT Data'!A:EZ,8,TRUE)</f>
        <v>0</v>
      </c>
      <c r="E17" s="69">
        <f>VLOOKUP(Q6,'SRT Data'!A:EZ,21,TRUE)</f>
        <v>0</v>
      </c>
      <c r="F17" s="69">
        <f>VLOOKUP(Q6,'SRT Data'!A:EZ,34,TRUE)</f>
        <v>0</v>
      </c>
      <c r="G17" s="69">
        <f>VLOOKUP(Q6,'SRT Data'!A:FA,47,TRUE)</f>
        <v>0</v>
      </c>
      <c r="H17" s="69">
        <f>VLOOKUP(Q6,'SRT Data'!A:FA,60,TRUE)</f>
        <v>0</v>
      </c>
      <c r="I17" s="69">
        <f>VLOOKUP(Q6,'SRT Data'!A:FA,73,TRUE)</f>
        <v>0</v>
      </c>
      <c r="J17" s="69">
        <f>VLOOKUP(Q6,'SRT Data'!A:FA,86,TRUE)</f>
        <v>0</v>
      </c>
      <c r="K17" s="69">
        <f>VLOOKUP(Q6,'SRT Data'!A:FA,99,TRUE)</f>
        <v>0</v>
      </c>
      <c r="L17" s="69">
        <f>VLOOKUP(Q6,'SRT Data'!A:FA,112,TRUE)</f>
        <v>0</v>
      </c>
      <c r="M17" s="69">
        <f>VLOOKUP(Q6,'SRT Data'!A:FA,125,TRUE)</f>
        <v>0</v>
      </c>
      <c r="N17" s="69">
        <f>VLOOKUP(Q6,'SRT Data'!A:FA,138,TRUE)</f>
        <v>0</v>
      </c>
      <c r="O17" s="69">
        <f>VLOOKUP(Q6,'SRT Data'!A:FA,151,TRUE)</f>
        <v>0</v>
      </c>
      <c r="P17" s="70">
        <f>VLOOKUP(Q6,'SRT Data'!A:FO,164,TRUE)</f>
        <v>0</v>
      </c>
      <c r="Q17" s="79" t="e">
        <f t="shared" si="0"/>
        <v>#DIV/0!</v>
      </c>
    </row>
    <row r="18" spans="1:17" ht="30" customHeight="1" x14ac:dyDescent="0.25">
      <c r="A18" s="88">
        <f>VLOOKUP(Q6,'Code Sheet'!A1:L34,9,TRUE)</f>
        <v>0</v>
      </c>
      <c r="B18" s="89"/>
      <c r="C18" s="89"/>
      <c r="D18" s="69">
        <f>VLOOKUP(Q6,'SRT Data'!A:EZ,9,TRUE)</f>
        <v>0</v>
      </c>
      <c r="E18" s="69">
        <f>VLOOKUP(Q6,'SRT Data'!A:EZ,22,TRUE)</f>
        <v>0</v>
      </c>
      <c r="F18" s="69">
        <f>VLOOKUP(Q6,'SRT Data'!A:EZ,35,TRUE)</f>
        <v>0</v>
      </c>
      <c r="G18" s="69">
        <f>VLOOKUP(Q6,'SRT Data'!A:FA,48,TRUE)</f>
        <v>0</v>
      </c>
      <c r="H18" s="69">
        <f>VLOOKUP(Q6,'SRT Data'!A:FA,61,TRUE)</f>
        <v>0</v>
      </c>
      <c r="I18" s="69">
        <f>VLOOKUP(Q6,'SRT Data'!A:FA,74,TRUE)</f>
        <v>0</v>
      </c>
      <c r="J18" s="69">
        <f>VLOOKUP(Q6,'SRT Data'!A:FA,87,TRUE)</f>
        <v>0</v>
      </c>
      <c r="K18" s="69">
        <f>VLOOKUP(Q6,'SRT Data'!A:FA,100,TRUE)</f>
        <v>0</v>
      </c>
      <c r="L18" s="69">
        <f>VLOOKUP(Q6,'SRT Data'!A:FA,113,TRUE)</f>
        <v>0</v>
      </c>
      <c r="M18" s="69">
        <f>VLOOKUP(Q6,'SRT Data'!A:FA,126,TRUE)</f>
        <v>0</v>
      </c>
      <c r="N18" s="69">
        <f>VLOOKUP(Q6,'SRT Data'!A:FA,139,TRUE)</f>
        <v>0</v>
      </c>
      <c r="O18" s="69">
        <f>VLOOKUP(Q6,'SRT Data'!A:FA,152,TRUE)</f>
        <v>0</v>
      </c>
      <c r="P18" s="70">
        <f>VLOOKUP(Q6,'SRT Data'!A:FO,165,TRUE)</f>
        <v>0</v>
      </c>
      <c r="Q18" s="79" t="e">
        <f t="shared" si="0"/>
        <v>#DIV/0!</v>
      </c>
    </row>
    <row r="19" spans="1:17" ht="30" customHeight="1" x14ac:dyDescent="0.25">
      <c r="A19" s="88">
        <f>VLOOKUP(Q6,'Code Sheet'!A1:L34,10,TRUE)</f>
        <v>0</v>
      </c>
      <c r="B19" s="89"/>
      <c r="C19" s="89"/>
      <c r="D19" s="69">
        <f>VLOOKUP(Q6,'SRT Data'!A:EZ,10,TRUE)</f>
        <v>0</v>
      </c>
      <c r="E19" s="69">
        <f>VLOOKUP(Q6,'SRT Data'!A:EZ,23,TRUE)</f>
        <v>0</v>
      </c>
      <c r="F19" s="69">
        <f>VLOOKUP(Q6,'SRT Data'!A:EZ,36,TRUE)</f>
        <v>0</v>
      </c>
      <c r="G19" s="69">
        <f>VLOOKUP(Q6,'SRT Data'!A:FA,49,TRUE)</f>
        <v>0</v>
      </c>
      <c r="H19" s="69">
        <f>VLOOKUP(Q6,'SRT Data'!A:FA,62,TRUE)</f>
        <v>0</v>
      </c>
      <c r="I19" s="69">
        <f>VLOOKUP(Q6,'SRT Data'!A:FA,75,TRUE)</f>
        <v>0</v>
      </c>
      <c r="J19" s="69">
        <f>VLOOKUP(Q6,'SRT Data'!A:FA,88,TRUE)</f>
        <v>0</v>
      </c>
      <c r="K19" s="69">
        <f>VLOOKUP(Q6,'SRT Data'!A:FA,101,TRUE)</f>
        <v>0</v>
      </c>
      <c r="L19" s="69">
        <f>VLOOKUP(Q6,'SRT Data'!A:FA,114,TRUE)</f>
        <v>0</v>
      </c>
      <c r="M19" s="69">
        <f>VLOOKUP(Q6,'SRT Data'!A:FA,127,TRUE)</f>
        <v>0</v>
      </c>
      <c r="N19" s="69">
        <f>VLOOKUP(Q6,'SRT Data'!A:FA,140,TRUE)</f>
        <v>0</v>
      </c>
      <c r="O19" s="69">
        <f>VLOOKUP(Q6,'SRT Data'!A:FA,153,TRUE)</f>
        <v>0</v>
      </c>
      <c r="P19" s="70">
        <f>VLOOKUP(Q6,'SRT Data'!A:FO,166,TRUE)</f>
        <v>0</v>
      </c>
      <c r="Q19" s="79" t="e">
        <f t="shared" si="0"/>
        <v>#DIV/0!</v>
      </c>
    </row>
    <row r="20" spans="1:17" ht="30" customHeight="1" x14ac:dyDescent="0.25">
      <c r="A20" s="88">
        <f>VLOOKUP(Q6,'Code Sheet'!A1:L34,11,TRUE)</f>
        <v>0</v>
      </c>
      <c r="B20" s="89"/>
      <c r="C20" s="89"/>
      <c r="D20" s="69">
        <f>VLOOKUP(Q6,'SRT Data'!A:EZ,11,TRUE)</f>
        <v>0</v>
      </c>
      <c r="E20" s="69">
        <f>VLOOKUP(Q6,'SRT Data'!A:EZ,24,TRUE)</f>
        <v>0</v>
      </c>
      <c r="F20" s="69">
        <f>VLOOKUP(Q6,'SRT Data'!A:EZ,37,TRUE)</f>
        <v>0</v>
      </c>
      <c r="G20" s="69">
        <f>VLOOKUP(Q6,'SRT Data'!A:FA,50,TRUE)</f>
        <v>0</v>
      </c>
      <c r="H20" s="69">
        <f>VLOOKUP(Q6,'SRT Data'!A:FA,63,TRUE)</f>
        <v>0</v>
      </c>
      <c r="I20" s="69">
        <f>VLOOKUP(Q6,'SRT Data'!A:FA,76,TRUE)</f>
        <v>0</v>
      </c>
      <c r="J20" s="69">
        <f>VLOOKUP(Q6,'SRT Data'!A:FA,89,TRUE)</f>
        <v>0</v>
      </c>
      <c r="K20" s="69">
        <f>VLOOKUP(Q6,'SRT Data'!A:FA,102,TRUE)</f>
        <v>0</v>
      </c>
      <c r="L20" s="69">
        <f>VLOOKUP(Q6,'SRT Data'!A:FA,115,TRUE)</f>
        <v>0</v>
      </c>
      <c r="M20" s="69">
        <f>VLOOKUP(Q6,'SRT Data'!A:FA,128,TRUE)</f>
        <v>0</v>
      </c>
      <c r="N20" s="69">
        <f>VLOOKUP(Q6,'SRT Data'!A:FA,141,TRUE)</f>
        <v>0</v>
      </c>
      <c r="O20" s="69">
        <f>VLOOKUP(Q6,'SRT Data'!A:FA,154,TRUE)</f>
        <v>0</v>
      </c>
      <c r="P20" s="70">
        <f>VLOOKUP(Q6,'SRT Data'!A:FO,167,TRUE)</f>
        <v>0</v>
      </c>
      <c r="Q20" s="79" t="e">
        <f t="shared" si="0"/>
        <v>#DIV/0!</v>
      </c>
    </row>
    <row r="21" spans="1:17" ht="30" customHeight="1" x14ac:dyDescent="0.25">
      <c r="A21" s="88">
        <f>VLOOKUP(Q6,'Code Sheet'!A1:L34,12,TRUE)</f>
        <v>0</v>
      </c>
      <c r="B21" s="89"/>
      <c r="C21" s="89"/>
      <c r="D21" s="69">
        <f>VLOOKUP(Q6,'SRT Data'!A:EZ,12,TRUE)</f>
        <v>0</v>
      </c>
      <c r="E21" s="69">
        <f>VLOOKUP(Q6,'SRT Data'!A:EZ,25,TRUE)</f>
        <v>0</v>
      </c>
      <c r="F21" s="69">
        <f>VLOOKUP(Q6,'SRT Data'!A:EZ,38,TRUE)</f>
        <v>0</v>
      </c>
      <c r="G21" s="69">
        <f>VLOOKUP(Q6,'SRT Data'!A:FA,51,TRUE)</f>
        <v>0</v>
      </c>
      <c r="H21" s="69">
        <f>VLOOKUP(Q6,'SRT Data'!A:FA,64,TRUE)</f>
        <v>0</v>
      </c>
      <c r="I21" s="69">
        <f>VLOOKUP(Q6,'SRT Data'!A:FA,77,TRUE)</f>
        <v>0</v>
      </c>
      <c r="J21" s="69">
        <f>VLOOKUP(Q6,'SRT Data'!A:FA,90,TRUE)</f>
        <v>0</v>
      </c>
      <c r="K21" s="69">
        <f>VLOOKUP(Q6,'SRT Data'!A:FA,103,TRUE)</f>
        <v>0</v>
      </c>
      <c r="L21" s="69">
        <f>VLOOKUP(Q6,'SRT Data'!A:FA,116,TRUE)</f>
        <v>0</v>
      </c>
      <c r="M21" s="69">
        <f>VLOOKUP(Q6,'SRT Data'!A:FA,129,TRUE)</f>
        <v>0</v>
      </c>
      <c r="N21" s="69">
        <f>VLOOKUP(Q6,'SRT Data'!A:FA,142,TRUE)</f>
        <v>0</v>
      </c>
      <c r="O21" s="69">
        <f>VLOOKUP(Q6,'SRT Data'!A:FA,155,TRUE)</f>
        <v>0</v>
      </c>
      <c r="P21" s="70">
        <f>VLOOKUP(Q6,'SRT Data'!A:FO,168,TRUE)</f>
        <v>0</v>
      </c>
      <c r="Q21" s="79" t="e">
        <f t="shared" si="0"/>
        <v>#DIV/0!</v>
      </c>
    </row>
    <row r="22" spans="1:17" ht="30" customHeight="1" x14ac:dyDescent="0.25">
      <c r="A22" s="88">
        <f>VLOOKUP(Q6,'Code Sheet'!A1:M35,13,TRUE)</f>
        <v>0</v>
      </c>
      <c r="B22" s="89"/>
      <c r="C22" s="89"/>
      <c r="D22" s="69">
        <f>VLOOKUP(Q6,'SRT Data'!A:EZ,13,TRUE)</f>
        <v>0</v>
      </c>
      <c r="E22" s="69">
        <f>VLOOKUP(Q6,'SRT Data'!A:EZ,26,TRUE)</f>
        <v>0</v>
      </c>
      <c r="F22" s="69">
        <f>VLOOKUP(Q6,'SRT Data'!A:EZ,39,TRUE)</f>
        <v>0</v>
      </c>
      <c r="G22" s="69">
        <f>VLOOKUP(Q6,'SRT Data'!A:FA,52,TRUE)</f>
        <v>0</v>
      </c>
      <c r="H22" s="69">
        <f>VLOOKUP(Q6,'SRT Data'!A:FA,65,TRUE)</f>
        <v>0</v>
      </c>
      <c r="I22" s="69">
        <f>VLOOKUP(Q6,'SRT Data'!A:FA,78,TRUE)</f>
        <v>0</v>
      </c>
      <c r="J22" s="69">
        <f>VLOOKUP(Q6,'SRT Data'!A:FA,91,TRUE)</f>
        <v>0</v>
      </c>
      <c r="K22" s="69">
        <f>VLOOKUP(Q6,'SRT Data'!A:FA,104,TRUE)</f>
        <v>0</v>
      </c>
      <c r="L22" s="69">
        <f>VLOOKUP(Q6,'SRT Data'!A:FA,117,TRUE)</f>
        <v>0</v>
      </c>
      <c r="M22" s="69">
        <f>VLOOKUP(Q6,'SRT Data'!A:FA,130,TRUE)</f>
        <v>0</v>
      </c>
      <c r="N22" s="69">
        <f>VLOOKUP(Q6,'SRT Data'!A:FA,143,TRUE)</f>
        <v>0</v>
      </c>
      <c r="O22" s="69">
        <f>VLOOKUP(Q6,'SRT Data'!A:FB,156,TRUE)</f>
        <v>0</v>
      </c>
      <c r="P22" s="70">
        <f>VLOOKUP(Q6,'SRT Data'!A:FO,169,TRUE)</f>
        <v>0</v>
      </c>
      <c r="Q22" s="79" t="e">
        <f t="shared" si="0"/>
        <v>#DIV/0!</v>
      </c>
    </row>
    <row r="23" spans="1:17" ht="30" customHeight="1" x14ac:dyDescent="0.25">
      <c r="A23" s="88">
        <f>VLOOKUP(Q6,'Code Sheet'!A1:O34,14,TRUE)</f>
        <v>0</v>
      </c>
      <c r="B23" s="89"/>
      <c r="C23" s="89"/>
      <c r="D23" s="69">
        <f>VLOOKUP(Q6,'SRT Data'!A:EZ,14,TRUE)</f>
        <v>0</v>
      </c>
      <c r="E23" s="69">
        <f>VLOOKUP(Q6,'SRT Data'!A:EZ,27,TRUE)</f>
        <v>0</v>
      </c>
      <c r="F23" s="69">
        <f>VLOOKUP(Q6,'SRT Data'!A:EZ,40,TRUE)</f>
        <v>0</v>
      </c>
      <c r="G23" s="69">
        <f>VLOOKUP(Q6,'SRT Data'!A:FA,53,TRUE)</f>
        <v>0</v>
      </c>
      <c r="H23" s="69">
        <f>VLOOKUP(Q6,'SRT Data'!A:FA,66,TRUE)</f>
        <v>0</v>
      </c>
      <c r="I23" s="69">
        <f>VLOOKUP(Q6,'SRT Data'!A:FA,79,TRUE)</f>
        <v>0</v>
      </c>
      <c r="J23" s="69">
        <f>VLOOKUP(Q6,'SRT Data'!A:FA,92,TRUE)</f>
        <v>0</v>
      </c>
      <c r="K23" s="69">
        <f>VLOOKUP(Q6,'SRT Data'!A:FA,105,TRUE)</f>
        <v>0</v>
      </c>
      <c r="L23" s="69">
        <f>VLOOKUP(Q6,'SRT Data'!A:FA,118,TRUE)</f>
        <v>0</v>
      </c>
      <c r="M23" s="69">
        <f>VLOOKUP(Q6,'SRT Data'!A:FA,131,TRUE)</f>
        <v>0</v>
      </c>
      <c r="N23" s="69">
        <f>VLOOKUP(Q6,'SRT Data'!A:FA,144,TRUE)</f>
        <v>0</v>
      </c>
      <c r="O23" s="69">
        <f>VLOOKUP(Q6,'SRT Data'!A:FB,157,TRUE)</f>
        <v>0</v>
      </c>
      <c r="P23" s="70">
        <f>VLOOKUP(Q6,'SRT Data'!A:FO,170,TRUE)</f>
        <v>0</v>
      </c>
      <c r="Q23" s="79" t="e">
        <f t="shared" si="0"/>
        <v>#DIV/0!</v>
      </c>
    </row>
    <row r="24" spans="1:17" ht="30" customHeight="1" thickBot="1" x14ac:dyDescent="0.3">
      <c r="A24" s="90">
        <f>VLOOKUP(Q6,'Code Sheet'!A1:O37,15,TRUE)</f>
        <v>0</v>
      </c>
      <c r="B24" s="91"/>
      <c r="C24" s="91"/>
      <c r="D24" s="80">
        <f>VLOOKUP(Q6,'SRT Data'!A:EZ,15,TRUE)</f>
        <v>0</v>
      </c>
      <c r="E24" s="80">
        <f>VLOOKUP(Q6,'SRT Data'!A:EZ,28,TRUE)</f>
        <v>0</v>
      </c>
      <c r="F24" s="80">
        <f>VLOOKUP(Q6,'SRT Data'!A:EZ,41,TRUE)</f>
        <v>0</v>
      </c>
      <c r="G24" s="80">
        <f>VLOOKUP(Q6,'SRT Data'!A:FA,54,TRUE)</f>
        <v>0</v>
      </c>
      <c r="H24" s="80">
        <f>VLOOKUP(Q6,'SRT Data'!A:FA,67,TRUE)</f>
        <v>0</v>
      </c>
      <c r="I24" s="80">
        <f>VLOOKUP(Q6,'SRT Data'!A:FA,80,TRUE)</f>
        <v>0</v>
      </c>
      <c r="J24" s="80">
        <f>VLOOKUP(Q6,'SRT Data'!A:FA,93,TRUE)</f>
        <v>0</v>
      </c>
      <c r="K24" s="80">
        <f>VLOOKUP(Q6,'SRT Data'!A:FA,106,TRUE)</f>
        <v>0</v>
      </c>
      <c r="L24" s="80">
        <f>VLOOKUP(Q6,'SRT Data'!A:FA,119,TRUE)</f>
        <v>0</v>
      </c>
      <c r="M24" s="80">
        <f>VLOOKUP(Q6,'SRT Data'!A:FA,132,TRUE)</f>
        <v>0</v>
      </c>
      <c r="N24" s="80">
        <f>VLOOKUP(Q6,'SRT Data'!A:FA,145,TRUE)</f>
        <v>0</v>
      </c>
      <c r="O24" s="80">
        <f>VLOOKUP(Q6,'SRT Data'!A:FB,158,TRUE)</f>
        <v>0</v>
      </c>
      <c r="P24" s="81">
        <f>VLOOKUP(Q6,'SRT Data'!A:FO,171,TRUE)</f>
        <v>0</v>
      </c>
      <c r="Q24" s="82" t="e">
        <f t="shared" si="0"/>
        <v>#DIV/0!</v>
      </c>
    </row>
    <row r="25" spans="1:17" ht="13.8" thickTop="1" x14ac:dyDescent="0.25">
      <c r="A25" s="6"/>
      <c r="B25" s="6"/>
      <c r="C25" s="6"/>
      <c r="D25" s="6"/>
      <c r="E25" s="6"/>
      <c r="F25" s="6"/>
      <c r="G25" s="6"/>
      <c r="H25" s="6"/>
      <c r="I25" s="6"/>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3"/>
  <sheetViews>
    <sheetView zoomScale="90" zoomScaleNormal="90" workbookViewId="0">
      <pane xSplit="3300" topLeftCell="BH1" activePane="topRight"/>
      <selection activeCell="A12" sqref="A12:XFD12"/>
      <selection pane="topRight" activeCell="BJ32" sqref="BJ32"/>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161" max="162" width="9.33203125" bestFit="1" customWidth="1"/>
  </cols>
  <sheetData>
    <row r="1" spans="1:171" x14ac:dyDescent="0.25">
      <c r="A1" s="13" t="s">
        <v>3</v>
      </c>
      <c r="B1" s="13" t="s">
        <v>1</v>
      </c>
      <c r="C1" s="13" t="s">
        <v>90</v>
      </c>
      <c r="D1" s="13" t="s">
        <v>91</v>
      </c>
      <c r="E1" s="13" t="s">
        <v>92</v>
      </c>
      <c r="F1" s="13" t="s">
        <v>93</v>
      </c>
      <c r="G1" s="13" t="s">
        <v>94</v>
      </c>
      <c r="H1" s="13" t="s">
        <v>95</v>
      </c>
      <c r="I1" s="13" t="s">
        <v>96</v>
      </c>
      <c r="J1" s="13" t="s">
        <v>97</v>
      </c>
      <c r="K1" s="13" t="s">
        <v>98</v>
      </c>
      <c r="L1" s="13" t="s">
        <v>99</v>
      </c>
      <c r="M1" s="13" t="s">
        <v>283</v>
      </c>
      <c r="N1" s="13" t="s">
        <v>284</v>
      </c>
      <c r="O1" s="13" t="s">
        <v>285</v>
      </c>
      <c r="P1" s="13" t="s">
        <v>102</v>
      </c>
      <c r="Q1" s="13" t="s">
        <v>103</v>
      </c>
      <c r="R1" s="13" t="s">
        <v>104</v>
      </c>
      <c r="S1" s="13" t="s">
        <v>105</v>
      </c>
      <c r="T1" s="13" t="s">
        <v>106</v>
      </c>
      <c r="U1" s="13" t="s">
        <v>107</v>
      </c>
      <c r="V1" s="13" t="s">
        <v>108</v>
      </c>
      <c r="W1" s="13" t="s">
        <v>109</v>
      </c>
      <c r="X1" s="13" t="s">
        <v>110</v>
      </c>
      <c r="Y1" s="13" t="s">
        <v>111</v>
      </c>
      <c r="Z1" s="13" t="s">
        <v>286</v>
      </c>
      <c r="AA1" s="13" t="s">
        <v>287</v>
      </c>
      <c r="AB1" s="13" t="s">
        <v>288</v>
      </c>
      <c r="AC1" s="13" t="s">
        <v>112</v>
      </c>
      <c r="AD1" s="13" t="s">
        <v>113</v>
      </c>
      <c r="AE1" s="13" t="s">
        <v>114</v>
      </c>
      <c r="AF1" s="13" t="s">
        <v>115</v>
      </c>
      <c r="AG1" s="13" t="s">
        <v>116</v>
      </c>
      <c r="AH1" s="13" t="s">
        <v>117</v>
      </c>
      <c r="AI1" s="13" t="s">
        <v>118</v>
      </c>
      <c r="AJ1" s="13" t="s">
        <v>119</v>
      </c>
      <c r="AK1" s="13" t="s">
        <v>120</v>
      </c>
      <c r="AL1" s="13" t="s">
        <v>121</v>
      </c>
      <c r="AM1" s="13" t="s">
        <v>289</v>
      </c>
      <c r="AN1" s="13" t="s">
        <v>290</v>
      </c>
      <c r="AO1" s="13" t="s">
        <v>291</v>
      </c>
      <c r="AP1" s="13" t="s">
        <v>127</v>
      </c>
      <c r="AQ1" s="13" t="s">
        <v>128</v>
      </c>
      <c r="AR1" s="13" t="s">
        <v>129</v>
      </c>
      <c r="AS1" s="13" t="s">
        <v>130</v>
      </c>
      <c r="AT1" s="13" t="s">
        <v>131</v>
      </c>
      <c r="AU1" s="13" t="s">
        <v>132</v>
      </c>
      <c r="AV1" s="13" t="s">
        <v>133</v>
      </c>
      <c r="AW1" s="13" t="s">
        <v>134</v>
      </c>
      <c r="AX1" s="13" t="s">
        <v>135</v>
      </c>
      <c r="AY1" s="13" t="s">
        <v>136</v>
      </c>
      <c r="AZ1" s="13" t="s">
        <v>292</v>
      </c>
      <c r="BA1" s="13" t="s">
        <v>293</v>
      </c>
      <c r="BB1" s="13" t="s">
        <v>294</v>
      </c>
      <c r="BC1" s="13" t="s">
        <v>137</v>
      </c>
      <c r="BD1" s="13" t="s">
        <v>138</v>
      </c>
      <c r="BE1" s="13" t="s">
        <v>139</v>
      </c>
      <c r="BF1" s="13" t="s">
        <v>140</v>
      </c>
      <c r="BG1" s="13" t="s">
        <v>141</v>
      </c>
      <c r="BH1" s="13" t="s">
        <v>142</v>
      </c>
      <c r="BI1" s="13" t="s">
        <v>143</v>
      </c>
      <c r="BJ1" s="13" t="s">
        <v>144</v>
      </c>
      <c r="BK1" s="13" t="s">
        <v>145</v>
      </c>
      <c r="BL1" s="13" t="s">
        <v>146</v>
      </c>
      <c r="BM1" s="13" t="s">
        <v>295</v>
      </c>
      <c r="BN1" s="13" t="s">
        <v>296</v>
      </c>
      <c r="BO1" s="13" t="s">
        <v>297</v>
      </c>
      <c r="BP1" s="13" t="s">
        <v>147</v>
      </c>
      <c r="BQ1" s="13" t="s">
        <v>148</v>
      </c>
      <c r="BR1" s="13" t="s">
        <v>149</v>
      </c>
      <c r="BS1" s="13" t="s">
        <v>150</v>
      </c>
      <c r="BT1" s="13" t="s">
        <v>151</v>
      </c>
      <c r="BU1" s="13" t="s">
        <v>152</v>
      </c>
      <c r="BV1" s="13" t="s">
        <v>153</v>
      </c>
      <c r="BW1" s="13" t="s">
        <v>154</v>
      </c>
      <c r="BX1" s="13" t="s">
        <v>155</v>
      </c>
      <c r="BY1" s="13" t="s">
        <v>156</v>
      </c>
      <c r="BZ1" s="13" t="s">
        <v>298</v>
      </c>
      <c r="CA1" s="13" t="s">
        <v>299</v>
      </c>
      <c r="CB1" s="13" t="s">
        <v>300</v>
      </c>
      <c r="CC1" s="13" t="s">
        <v>157</v>
      </c>
      <c r="CD1" s="13" t="s">
        <v>158</v>
      </c>
      <c r="CE1" s="13" t="s">
        <v>159</v>
      </c>
      <c r="CF1" s="13" t="s">
        <v>160</v>
      </c>
      <c r="CG1" s="13" t="s">
        <v>161</v>
      </c>
      <c r="CH1" s="13" t="s">
        <v>162</v>
      </c>
      <c r="CI1" s="13" t="s">
        <v>163</v>
      </c>
      <c r="CJ1" s="13" t="s">
        <v>164</v>
      </c>
      <c r="CK1" s="13" t="s">
        <v>165</v>
      </c>
      <c r="CL1" s="13" t="s">
        <v>166</v>
      </c>
      <c r="CM1" s="13" t="s">
        <v>301</v>
      </c>
      <c r="CN1" s="13" t="s">
        <v>302</v>
      </c>
      <c r="CO1" s="13" t="s">
        <v>303</v>
      </c>
      <c r="CP1" s="13" t="s">
        <v>167</v>
      </c>
      <c r="CQ1" s="13" t="s">
        <v>168</v>
      </c>
      <c r="CR1" s="13" t="s">
        <v>169</v>
      </c>
      <c r="CS1" s="13" t="s">
        <v>170</v>
      </c>
      <c r="CT1" s="13" t="s">
        <v>171</v>
      </c>
      <c r="CU1" s="13" t="s">
        <v>172</v>
      </c>
      <c r="CV1" s="13" t="s">
        <v>173</v>
      </c>
      <c r="CW1" s="13" t="s">
        <v>174</v>
      </c>
      <c r="CX1" s="13" t="s">
        <v>175</v>
      </c>
      <c r="CY1" s="13" t="s">
        <v>176</v>
      </c>
      <c r="CZ1" s="13" t="s">
        <v>304</v>
      </c>
      <c r="DA1" s="13" t="s">
        <v>305</v>
      </c>
      <c r="DB1" s="13" t="s">
        <v>306</v>
      </c>
      <c r="DC1" s="13" t="s">
        <v>177</v>
      </c>
      <c r="DD1" s="13" t="s">
        <v>178</v>
      </c>
      <c r="DE1" s="13" t="s">
        <v>179</v>
      </c>
      <c r="DF1" s="13" t="s">
        <v>180</v>
      </c>
      <c r="DG1" s="13" t="s">
        <v>181</v>
      </c>
      <c r="DH1" s="13" t="s">
        <v>182</v>
      </c>
      <c r="DI1" s="13" t="s">
        <v>183</v>
      </c>
      <c r="DJ1" s="13" t="s">
        <v>184</v>
      </c>
      <c r="DK1" s="13" t="s">
        <v>185</v>
      </c>
      <c r="DL1" s="13" t="s">
        <v>186</v>
      </c>
      <c r="DM1" s="13" t="s">
        <v>307</v>
      </c>
      <c r="DN1" s="13" t="s">
        <v>308</v>
      </c>
      <c r="DO1" s="13" t="s">
        <v>309</v>
      </c>
      <c r="DP1" s="13" t="s">
        <v>190</v>
      </c>
      <c r="DQ1" s="13" t="s">
        <v>191</v>
      </c>
      <c r="DR1" s="13" t="s">
        <v>192</v>
      </c>
      <c r="DS1" s="13" t="s">
        <v>193</v>
      </c>
      <c r="DT1" s="13" t="s">
        <v>194</v>
      </c>
      <c r="DU1" s="13" t="s">
        <v>195</v>
      </c>
      <c r="DV1" s="13" t="s">
        <v>196</v>
      </c>
      <c r="DW1" s="13" t="s">
        <v>197</v>
      </c>
      <c r="DX1" s="13" t="s">
        <v>198</v>
      </c>
      <c r="DY1" s="13" t="s">
        <v>199</v>
      </c>
      <c r="DZ1" s="13" t="s">
        <v>310</v>
      </c>
      <c r="EA1" s="13" t="s">
        <v>311</v>
      </c>
      <c r="EB1" s="13" t="s">
        <v>312</v>
      </c>
      <c r="EC1" s="13" t="s">
        <v>200</v>
      </c>
      <c r="ED1" s="13" t="s">
        <v>201</v>
      </c>
      <c r="EE1" s="13" t="s">
        <v>202</v>
      </c>
      <c r="EF1" s="13" t="s">
        <v>203</v>
      </c>
      <c r="EG1" s="13" t="s">
        <v>204</v>
      </c>
      <c r="EH1" s="13" t="s">
        <v>205</v>
      </c>
      <c r="EI1" s="13" t="s">
        <v>206</v>
      </c>
      <c r="EJ1" s="13" t="s">
        <v>207</v>
      </c>
      <c r="EK1" s="13" t="s">
        <v>208</v>
      </c>
      <c r="EL1" s="13" t="s">
        <v>209</v>
      </c>
      <c r="EM1" s="13" t="s">
        <v>313</v>
      </c>
      <c r="EN1" s="13" t="s">
        <v>314</v>
      </c>
      <c r="EO1" s="13" t="s">
        <v>315</v>
      </c>
      <c r="EP1" s="13" t="s">
        <v>210</v>
      </c>
      <c r="EQ1" s="13" t="s">
        <v>211</v>
      </c>
      <c r="ER1" s="13" t="s">
        <v>212</v>
      </c>
      <c r="ES1" s="13" t="s">
        <v>213</v>
      </c>
      <c r="ET1" s="13" t="s">
        <v>214</v>
      </c>
      <c r="EU1" s="13" t="s">
        <v>215</v>
      </c>
      <c r="EV1" s="13" t="s">
        <v>216</v>
      </c>
      <c r="EW1" s="13" t="s">
        <v>217</v>
      </c>
      <c r="EX1" s="13" t="s">
        <v>218</v>
      </c>
      <c r="EY1" s="13" t="s">
        <v>219</v>
      </c>
      <c r="EZ1" s="13" t="s">
        <v>316</v>
      </c>
      <c r="FA1" s="13" t="s">
        <v>317</v>
      </c>
      <c r="FB1" s="13" t="s">
        <v>318</v>
      </c>
      <c r="FC1" s="13" t="s">
        <v>415</v>
      </c>
      <c r="FD1" s="13" t="s">
        <v>416</v>
      </c>
      <c r="FE1" s="13" t="s">
        <v>417</v>
      </c>
      <c r="FF1" s="13" t="s">
        <v>418</v>
      </c>
      <c r="FG1" s="13" t="s">
        <v>419</v>
      </c>
      <c r="FH1" s="13" t="s">
        <v>420</v>
      </c>
      <c r="FI1" s="13" t="s">
        <v>421</v>
      </c>
      <c r="FJ1" s="13" t="s">
        <v>422</v>
      </c>
      <c r="FK1" s="13" t="s">
        <v>423</v>
      </c>
      <c r="FL1" s="13" t="s">
        <v>424</v>
      </c>
      <c r="FM1" s="13" t="s">
        <v>425</v>
      </c>
      <c r="FN1" s="13" t="s">
        <v>426</v>
      </c>
      <c r="FO1" s="13" t="s">
        <v>427</v>
      </c>
    </row>
    <row r="2" spans="1:171" x14ac:dyDescent="0.25">
      <c r="A2" s="29">
        <v>1</v>
      </c>
      <c r="B2" s="30" t="s">
        <v>221</v>
      </c>
      <c r="C2" s="20">
        <v>5782</v>
      </c>
      <c r="D2" s="20">
        <v>3</v>
      </c>
      <c r="E2" s="20">
        <v>20</v>
      </c>
      <c r="F2" s="20">
        <v>1538</v>
      </c>
      <c r="G2" s="20">
        <v>20</v>
      </c>
      <c r="H2" s="20"/>
      <c r="I2" s="20"/>
      <c r="J2" s="15"/>
      <c r="K2" s="15"/>
      <c r="L2" s="13"/>
      <c r="M2" s="13"/>
      <c r="N2" s="13"/>
      <c r="O2" s="13"/>
      <c r="P2" s="20">
        <v>4287</v>
      </c>
      <c r="Q2" s="20">
        <v>4</v>
      </c>
      <c r="R2" s="20">
        <v>24</v>
      </c>
      <c r="S2" s="20">
        <v>4995</v>
      </c>
      <c r="T2" s="20">
        <v>5</v>
      </c>
      <c r="U2" s="21"/>
      <c r="V2" s="21"/>
      <c r="W2" s="21"/>
      <c r="X2" s="21"/>
      <c r="Y2" s="21"/>
      <c r="Z2" s="21"/>
      <c r="AA2" s="21"/>
      <c r="AB2" s="21"/>
      <c r="AC2" s="20">
        <v>4123</v>
      </c>
      <c r="AD2" s="20">
        <v>7</v>
      </c>
      <c r="AE2" s="20">
        <v>22</v>
      </c>
      <c r="AF2" s="20">
        <v>5352</v>
      </c>
      <c r="AG2" s="20">
        <v>5</v>
      </c>
      <c r="AH2" s="20"/>
      <c r="AI2" s="20"/>
      <c r="AJ2" s="20"/>
      <c r="AK2" s="20"/>
      <c r="AL2" s="20"/>
      <c r="AM2" s="20"/>
      <c r="AN2" s="20"/>
      <c r="AO2" s="20"/>
      <c r="AP2" s="20">
        <v>2982</v>
      </c>
      <c r="AQ2" s="20">
        <v>4</v>
      </c>
      <c r="AR2" s="20">
        <v>19</v>
      </c>
      <c r="AS2" s="20">
        <v>5121</v>
      </c>
      <c r="AT2" s="20">
        <v>2</v>
      </c>
      <c r="AU2" s="20"/>
      <c r="AV2" s="20"/>
      <c r="AW2" s="20"/>
      <c r="AX2" s="20"/>
      <c r="AY2" s="20"/>
      <c r="AZ2" s="20"/>
      <c r="BA2" s="20"/>
      <c r="BB2" s="20"/>
      <c r="BC2" s="20">
        <v>1865</v>
      </c>
      <c r="BD2" s="20">
        <v>1</v>
      </c>
      <c r="BE2" s="20">
        <v>19</v>
      </c>
      <c r="BF2" s="20">
        <v>2229</v>
      </c>
      <c r="BG2" s="20">
        <v>1</v>
      </c>
      <c r="BH2" s="20"/>
      <c r="BI2" s="20"/>
      <c r="BJ2" s="20"/>
      <c r="BK2" s="20"/>
      <c r="BL2" s="20"/>
      <c r="BM2" s="20"/>
      <c r="BN2" s="20"/>
      <c r="BO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C2" s="14"/>
      <c r="ED2" s="14"/>
      <c r="EE2" s="14"/>
      <c r="EF2" s="14"/>
      <c r="EG2" s="14"/>
      <c r="EH2" s="14"/>
      <c r="EI2" s="14"/>
      <c r="EJ2" s="14"/>
      <c r="EK2" s="14"/>
      <c r="EL2" s="14"/>
      <c r="EM2" s="14"/>
      <c r="EN2" s="14"/>
      <c r="EO2" s="14"/>
      <c r="FC2" s="45">
        <v>60000</v>
      </c>
      <c r="FD2" s="45">
        <v>75</v>
      </c>
      <c r="FE2" s="45">
        <v>190</v>
      </c>
      <c r="FF2" s="45">
        <v>45000</v>
      </c>
      <c r="FG2" s="45">
        <v>60</v>
      </c>
      <c r="FH2" s="45"/>
      <c r="FI2" s="45"/>
      <c r="FJ2" s="45"/>
      <c r="FK2" s="45"/>
      <c r="FL2" s="45"/>
      <c r="FM2" s="45"/>
      <c r="FN2" s="45"/>
      <c r="FO2" s="45"/>
    </row>
    <row r="3" spans="1:171" x14ac:dyDescent="0.25">
      <c r="A3" s="33">
        <v>2</v>
      </c>
      <c r="B3" s="31" t="s">
        <v>4</v>
      </c>
      <c r="C3" s="20">
        <v>1672</v>
      </c>
      <c r="D3" s="20">
        <v>6206</v>
      </c>
      <c r="E3" s="20">
        <v>1379</v>
      </c>
      <c r="F3" s="20">
        <v>28</v>
      </c>
      <c r="G3" s="20">
        <v>4675</v>
      </c>
      <c r="H3" s="20">
        <v>6</v>
      </c>
      <c r="I3" s="20">
        <v>150</v>
      </c>
      <c r="J3" s="20">
        <v>1150</v>
      </c>
      <c r="K3" s="15"/>
      <c r="L3" s="15"/>
      <c r="M3" s="15"/>
      <c r="N3" s="15"/>
      <c r="O3" s="15"/>
      <c r="P3" s="20">
        <v>1274</v>
      </c>
      <c r="Q3" s="20">
        <v>3778</v>
      </c>
      <c r="R3" s="20">
        <v>4040</v>
      </c>
      <c r="S3" s="20">
        <v>29</v>
      </c>
      <c r="T3" s="20">
        <v>4760</v>
      </c>
      <c r="U3" s="20">
        <v>6</v>
      </c>
      <c r="V3" s="20">
        <v>138</v>
      </c>
      <c r="W3" s="20">
        <v>1225</v>
      </c>
      <c r="X3" s="20"/>
      <c r="Y3" s="20"/>
      <c r="Z3" s="20"/>
      <c r="AA3" s="20"/>
      <c r="AB3" s="20"/>
      <c r="AC3" s="20">
        <v>1321</v>
      </c>
      <c r="AD3" s="20">
        <v>3801</v>
      </c>
      <c r="AE3" s="20">
        <v>6477</v>
      </c>
      <c r="AF3" s="20">
        <v>29</v>
      </c>
      <c r="AG3" s="20">
        <v>4760</v>
      </c>
      <c r="AH3" s="20">
        <v>7</v>
      </c>
      <c r="AI3" s="20">
        <v>163</v>
      </c>
      <c r="AJ3" s="20">
        <v>1550</v>
      </c>
      <c r="AK3" s="20"/>
      <c r="AL3" s="20"/>
      <c r="AM3" s="20"/>
      <c r="AN3" s="20"/>
      <c r="AO3" s="20"/>
      <c r="AP3" s="20">
        <v>1508</v>
      </c>
      <c r="AQ3" s="20">
        <v>3355</v>
      </c>
      <c r="AR3" s="20">
        <v>10362</v>
      </c>
      <c r="AS3" s="20">
        <v>29</v>
      </c>
      <c r="AT3" s="20">
        <v>4760</v>
      </c>
      <c r="AU3" s="20">
        <v>7</v>
      </c>
      <c r="AV3" s="20">
        <v>175</v>
      </c>
      <c r="AW3" s="20">
        <v>1150</v>
      </c>
      <c r="AX3" s="20"/>
      <c r="AY3" s="20"/>
      <c r="AZ3" s="20"/>
      <c r="BA3" s="20"/>
      <c r="BB3" s="20"/>
      <c r="BC3" s="20">
        <v>981</v>
      </c>
      <c r="BD3" s="20">
        <v>3042</v>
      </c>
      <c r="BE3" s="20">
        <v>4853</v>
      </c>
      <c r="BF3" s="20">
        <v>29</v>
      </c>
      <c r="BG3" s="20">
        <v>4760</v>
      </c>
      <c r="BH3" s="20">
        <v>7</v>
      </c>
      <c r="BI3" s="20">
        <v>175</v>
      </c>
      <c r="BJ3" s="20">
        <v>1250</v>
      </c>
      <c r="BK3" s="20"/>
      <c r="BL3" s="20"/>
      <c r="BM3" s="20"/>
      <c r="BN3" s="20"/>
      <c r="BO3" s="20"/>
      <c r="BP3" s="20">
        <v>1227</v>
      </c>
      <c r="BQ3" s="20">
        <v>2638</v>
      </c>
      <c r="BR3" s="20">
        <v>5985</v>
      </c>
      <c r="BS3" s="20">
        <v>29</v>
      </c>
      <c r="BT3" s="20">
        <v>4760</v>
      </c>
      <c r="BU3" s="20">
        <v>7</v>
      </c>
      <c r="BV3" s="20">
        <v>175</v>
      </c>
      <c r="BW3" s="20">
        <v>1150</v>
      </c>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15"/>
      <c r="CY3" s="15"/>
      <c r="CZ3" s="15"/>
      <c r="DA3" s="15"/>
      <c r="DB3" s="15"/>
      <c r="DC3" s="14"/>
      <c r="DD3" s="14"/>
      <c r="DE3" s="14"/>
      <c r="DF3" s="14"/>
      <c r="DG3" s="14"/>
      <c r="DH3" s="14"/>
      <c r="DI3" s="14"/>
      <c r="DJ3" s="14"/>
      <c r="DK3" s="15"/>
      <c r="DL3" s="15"/>
      <c r="DM3" s="15"/>
      <c r="DN3" s="15"/>
      <c r="DO3" s="15"/>
      <c r="DP3" s="15"/>
      <c r="DQ3" s="15"/>
      <c r="DR3" s="15"/>
      <c r="DS3" s="15"/>
      <c r="DT3" s="15"/>
      <c r="DU3" s="15"/>
      <c r="DV3" s="15"/>
      <c r="DW3" s="15"/>
      <c r="DX3" s="15"/>
      <c r="DY3" s="15"/>
      <c r="DZ3" s="15"/>
      <c r="EA3" s="15"/>
      <c r="EB3" s="15"/>
      <c r="EC3" s="20"/>
      <c r="ED3" s="20"/>
      <c r="EE3" s="20"/>
      <c r="EF3" s="20"/>
      <c r="EG3" s="20"/>
      <c r="EH3" s="20"/>
      <c r="EI3" s="20"/>
      <c r="EJ3" s="20"/>
      <c r="EK3" s="20"/>
      <c r="EL3" s="20"/>
      <c r="EM3" s="20"/>
      <c r="EN3" s="20"/>
      <c r="EO3" s="20"/>
      <c r="EP3" s="15"/>
      <c r="EQ3" s="15"/>
      <c r="ER3" s="15"/>
      <c r="ES3" s="15"/>
      <c r="ET3" s="15"/>
      <c r="EU3" s="15"/>
      <c r="EV3" s="15"/>
      <c r="EW3" s="15"/>
      <c r="EX3" s="15"/>
      <c r="EY3" s="15"/>
      <c r="EZ3" s="15"/>
      <c r="FA3" s="15"/>
      <c r="FB3" s="15"/>
      <c r="FC3" s="45">
        <v>15000</v>
      </c>
      <c r="FD3" s="45">
        <v>37000</v>
      </c>
      <c r="FE3" s="45">
        <v>65000</v>
      </c>
      <c r="FF3" s="45">
        <v>30</v>
      </c>
      <c r="FG3" s="45">
        <v>57000</v>
      </c>
      <c r="FH3" s="45">
        <v>6</v>
      </c>
      <c r="FI3" s="45">
        <v>1700</v>
      </c>
      <c r="FJ3" s="45">
        <v>7500</v>
      </c>
      <c r="FK3" s="45"/>
      <c r="FL3" s="45"/>
      <c r="FM3" s="45"/>
      <c r="FN3" s="45"/>
      <c r="FO3" s="45"/>
    </row>
    <row r="4" spans="1:171" x14ac:dyDescent="0.25">
      <c r="A4" s="33">
        <v>3</v>
      </c>
      <c r="B4" s="31" t="s">
        <v>235</v>
      </c>
      <c r="C4" s="20">
        <v>230</v>
      </c>
      <c r="D4" s="20">
        <v>11.5</v>
      </c>
      <c r="E4" s="20">
        <v>146</v>
      </c>
      <c r="F4" s="20">
        <v>7</v>
      </c>
      <c r="G4" s="20">
        <v>2</v>
      </c>
      <c r="H4" s="20">
        <v>18</v>
      </c>
      <c r="I4" s="20"/>
      <c r="J4" s="20"/>
      <c r="K4" s="15"/>
      <c r="L4" s="13"/>
      <c r="M4" s="13"/>
      <c r="N4" s="13"/>
      <c r="O4" s="13"/>
      <c r="P4" s="20">
        <v>238</v>
      </c>
      <c r="Q4" s="20">
        <v>10.3</v>
      </c>
      <c r="R4" s="20">
        <v>122</v>
      </c>
      <c r="S4" s="20">
        <v>14</v>
      </c>
      <c r="T4" s="20">
        <v>1</v>
      </c>
      <c r="U4" s="20">
        <v>11</v>
      </c>
      <c r="V4" s="20"/>
      <c r="W4" s="20"/>
      <c r="X4" s="20"/>
      <c r="Y4" s="20"/>
      <c r="Z4" s="20"/>
      <c r="AA4" s="20"/>
      <c r="AB4" s="20"/>
      <c r="AC4" s="20">
        <v>230</v>
      </c>
      <c r="AD4" s="20">
        <v>11.5</v>
      </c>
      <c r="AE4" s="20">
        <v>152</v>
      </c>
      <c r="AF4" s="20">
        <v>25</v>
      </c>
      <c r="AG4" s="20">
        <v>0</v>
      </c>
      <c r="AH4" s="20">
        <v>10</v>
      </c>
      <c r="AI4" s="20"/>
      <c r="AJ4" s="20"/>
      <c r="AK4" s="20"/>
      <c r="AL4" s="20"/>
      <c r="AM4" s="20"/>
      <c r="AN4" s="20"/>
      <c r="AO4" s="20"/>
      <c r="AP4" s="20">
        <v>231</v>
      </c>
      <c r="AQ4" s="20">
        <v>10.5</v>
      </c>
      <c r="AR4" s="20">
        <v>104</v>
      </c>
      <c r="AS4" s="20">
        <v>12</v>
      </c>
      <c r="AT4" s="20">
        <v>1</v>
      </c>
      <c r="AU4" s="20">
        <v>7</v>
      </c>
      <c r="AV4" s="20"/>
      <c r="AW4" s="20"/>
      <c r="AX4" s="20"/>
      <c r="AY4" s="20"/>
      <c r="AZ4" s="20"/>
      <c r="BA4" s="20"/>
      <c r="BB4" s="20"/>
      <c r="BC4" s="20">
        <v>176</v>
      </c>
      <c r="BD4" s="20">
        <v>9.3000000000000007</v>
      </c>
      <c r="BE4" s="20">
        <v>95</v>
      </c>
      <c r="BF4" s="20">
        <v>11</v>
      </c>
      <c r="BG4" s="20">
        <v>1</v>
      </c>
      <c r="BH4" s="20">
        <v>3</v>
      </c>
      <c r="BI4" s="20"/>
      <c r="BJ4" s="20"/>
      <c r="BK4" s="20"/>
      <c r="BL4" s="20"/>
      <c r="BM4" s="20"/>
      <c r="BN4" s="20"/>
      <c r="BO4" s="20"/>
      <c r="BP4" s="20">
        <v>191</v>
      </c>
      <c r="BQ4" s="20">
        <v>10.1</v>
      </c>
      <c r="BR4" s="20">
        <v>88</v>
      </c>
      <c r="BS4" s="20">
        <v>16</v>
      </c>
      <c r="BT4" s="20">
        <v>1</v>
      </c>
      <c r="BU4" s="20">
        <v>6</v>
      </c>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20"/>
      <c r="ED4" s="14"/>
      <c r="EE4" s="20"/>
      <c r="EF4" s="14"/>
      <c r="EG4" s="14"/>
      <c r="EH4" s="14"/>
      <c r="EI4" s="14"/>
      <c r="EJ4" s="14"/>
      <c r="EK4" s="14"/>
      <c r="EL4" s="14"/>
      <c r="EM4" s="14"/>
      <c r="EN4" s="14"/>
      <c r="EO4" s="14"/>
      <c r="FC4" s="45">
        <v>3000</v>
      </c>
      <c r="FD4" s="45">
        <v>12.5</v>
      </c>
      <c r="FE4" s="45">
        <v>1575</v>
      </c>
      <c r="FF4" s="45">
        <v>135</v>
      </c>
      <c r="FG4" s="45">
        <v>15</v>
      </c>
      <c r="FH4" s="45">
        <v>120</v>
      </c>
      <c r="FI4" s="45"/>
      <c r="FJ4" s="45"/>
      <c r="FK4" s="45"/>
      <c r="FL4" s="45"/>
      <c r="FM4" s="45"/>
      <c r="FN4" s="45"/>
      <c r="FO4" s="45"/>
    </row>
    <row r="5" spans="1:171" x14ac:dyDescent="0.25">
      <c r="A5" s="33">
        <v>4</v>
      </c>
      <c r="B5" s="31" t="s">
        <v>5</v>
      </c>
      <c r="C5" s="14">
        <v>40687</v>
      </c>
      <c r="D5" s="14">
        <v>1213</v>
      </c>
      <c r="E5" s="14">
        <v>155</v>
      </c>
      <c r="F5" s="14">
        <v>75</v>
      </c>
      <c r="G5" s="20"/>
      <c r="H5" s="20"/>
      <c r="I5" s="20"/>
      <c r="J5" s="20"/>
      <c r="K5" s="20"/>
      <c r="L5" s="14"/>
      <c r="M5" s="14"/>
      <c r="N5" s="14"/>
      <c r="O5" s="14"/>
      <c r="P5" s="14">
        <v>40680</v>
      </c>
      <c r="Q5" s="14">
        <v>1406</v>
      </c>
      <c r="R5" s="14">
        <v>155</v>
      </c>
      <c r="S5" s="14">
        <v>170</v>
      </c>
      <c r="T5" s="20"/>
      <c r="U5" s="14"/>
      <c r="V5" s="14"/>
      <c r="W5" s="14"/>
      <c r="X5" s="14"/>
      <c r="Y5" s="14"/>
      <c r="Z5" s="14"/>
      <c r="AA5" s="14"/>
      <c r="AB5" s="14"/>
      <c r="AC5" s="14">
        <v>40747</v>
      </c>
      <c r="AD5" s="14">
        <v>1057</v>
      </c>
      <c r="AE5" s="14">
        <v>139</v>
      </c>
      <c r="AF5" s="14">
        <v>87</v>
      </c>
      <c r="AG5" s="14"/>
      <c r="AH5" s="14"/>
      <c r="AI5" s="14"/>
      <c r="AJ5" s="14"/>
      <c r="AK5" s="14"/>
      <c r="AL5" s="14"/>
      <c r="AM5" s="14"/>
      <c r="AN5" s="14"/>
      <c r="AO5" s="14"/>
      <c r="AP5" s="14">
        <v>40797</v>
      </c>
      <c r="AQ5" s="14">
        <v>578</v>
      </c>
      <c r="AR5" s="14">
        <v>133</v>
      </c>
      <c r="AS5" s="14">
        <v>82</v>
      </c>
      <c r="AT5" s="14"/>
      <c r="AU5" s="14"/>
      <c r="AV5" s="14"/>
      <c r="AW5" s="14"/>
      <c r="AX5" s="14"/>
      <c r="AY5" s="14"/>
      <c r="AZ5" s="14"/>
      <c r="BA5" s="14"/>
      <c r="BB5" s="14"/>
      <c r="BC5" s="14">
        <v>40830</v>
      </c>
      <c r="BD5" s="14">
        <v>812</v>
      </c>
      <c r="BE5" s="14">
        <v>166</v>
      </c>
      <c r="BF5" s="14">
        <v>150</v>
      </c>
      <c r="BG5" s="14"/>
      <c r="BH5" s="14"/>
      <c r="BI5" s="14"/>
      <c r="BJ5" s="14"/>
      <c r="BK5" s="14"/>
      <c r="BL5" s="14"/>
      <c r="BM5" s="14"/>
      <c r="BN5" s="14"/>
      <c r="BO5" s="14"/>
      <c r="BP5" s="14">
        <v>40852</v>
      </c>
      <c r="BQ5" s="14">
        <v>969</v>
      </c>
      <c r="BR5" s="14">
        <v>129</v>
      </c>
      <c r="BS5" s="14">
        <v>86</v>
      </c>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FC5" s="45">
        <v>40500</v>
      </c>
      <c r="FD5" s="45">
        <v>35000</v>
      </c>
      <c r="FE5" s="45">
        <v>2500</v>
      </c>
      <c r="FF5" s="45">
        <v>2000</v>
      </c>
      <c r="FG5" s="45">
        <v>50</v>
      </c>
      <c r="FH5" s="45">
        <v>60</v>
      </c>
      <c r="FI5" s="45">
        <v>6</v>
      </c>
      <c r="FJ5" s="45">
        <v>350</v>
      </c>
      <c r="FK5" s="45"/>
      <c r="FL5" s="45"/>
      <c r="FM5" s="45"/>
      <c r="FN5" s="45"/>
      <c r="FO5" s="45"/>
    </row>
    <row r="6" spans="1:171" x14ac:dyDescent="0.25">
      <c r="A6" s="33">
        <v>5</v>
      </c>
      <c r="B6" s="31" t="s">
        <v>429</v>
      </c>
      <c r="C6" s="14">
        <v>1989</v>
      </c>
      <c r="D6" s="14">
        <v>4.4000000000000004</v>
      </c>
      <c r="E6" s="14">
        <v>303</v>
      </c>
      <c r="F6" s="14">
        <v>0.67</v>
      </c>
      <c r="G6" s="20">
        <v>0.05</v>
      </c>
      <c r="H6" s="20"/>
      <c r="I6" s="20"/>
      <c r="J6" s="20"/>
      <c r="K6" s="20"/>
      <c r="L6" s="14"/>
      <c r="M6" s="14"/>
      <c r="N6" s="14"/>
      <c r="O6" s="14"/>
      <c r="P6" s="14">
        <v>2135</v>
      </c>
      <c r="Q6" s="14">
        <v>4.13</v>
      </c>
      <c r="R6" s="14">
        <v>325</v>
      </c>
      <c r="S6" s="14">
        <v>0.63</v>
      </c>
      <c r="T6" s="20">
        <v>2.5</v>
      </c>
      <c r="U6" s="14"/>
      <c r="V6" s="14"/>
      <c r="W6" s="14"/>
      <c r="X6" s="14"/>
      <c r="Y6" s="14"/>
      <c r="Z6" s="14"/>
      <c r="AA6" s="14"/>
      <c r="AB6" s="14"/>
      <c r="AC6" s="14">
        <v>1896</v>
      </c>
      <c r="AD6" s="14">
        <v>4.2</v>
      </c>
      <c r="AE6" s="14">
        <v>265</v>
      </c>
      <c r="AF6" s="14">
        <v>0.59</v>
      </c>
      <c r="AG6" s="14">
        <v>3.4</v>
      </c>
      <c r="AH6" s="14"/>
      <c r="AI6" s="14"/>
      <c r="AJ6" s="14"/>
      <c r="AK6" s="14"/>
      <c r="AL6" s="14"/>
      <c r="AM6" s="14"/>
      <c r="AN6" s="14"/>
      <c r="AO6" s="14"/>
      <c r="AP6" s="14">
        <v>2034</v>
      </c>
      <c r="AQ6" s="14">
        <v>3.49</v>
      </c>
      <c r="AR6" s="14">
        <v>296</v>
      </c>
      <c r="AS6" s="14">
        <v>0.51</v>
      </c>
      <c r="AT6" s="14">
        <v>1.5</v>
      </c>
      <c r="AU6" s="14"/>
      <c r="AV6" s="14"/>
      <c r="AW6" s="14"/>
      <c r="AX6" s="14"/>
      <c r="AY6" s="14"/>
      <c r="AZ6" s="14"/>
      <c r="BA6" s="14"/>
      <c r="BB6" s="14"/>
      <c r="BC6" s="14">
        <v>1956</v>
      </c>
      <c r="BD6" s="14">
        <v>4.57</v>
      </c>
      <c r="BE6" s="14">
        <v>284</v>
      </c>
      <c r="BF6" s="14">
        <v>0.66</v>
      </c>
      <c r="BG6" s="14">
        <v>2</v>
      </c>
      <c r="BH6" s="14"/>
      <c r="BI6" s="14"/>
      <c r="BJ6" s="14"/>
      <c r="BK6" s="14"/>
      <c r="BL6" s="14"/>
      <c r="BM6" s="14"/>
      <c r="BN6" s="14"/>
      <c r="BO6" s="14"/>
      <c r="BP6" s="14">
        <v>1627</v>
      </c>
      <c r="BQ6" s="14">
        <v>3.4</v>
      </c>
      <c r="BR6" s="14">
        <v>251</v>
      </c>
      <c r="BS6" s="14">
        <v>0.59</v>
      </c>
      <c r="BT6" s="14">
        <v>1.1000000000000001</v>
      </c>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X6" s="14"/>
      <c r="DY6" s="14"/>
      <c r="DZ6" s="14"/>
      <c r="EA6" s="14"/>
      <c r="EB6" s="14"/>
      <c r="EC6" s="14"/>
      <c r="ED6" s="14"/>
      <c r="EE6" s="14"/>
      <c r="EF6" s="14"/>
      <c r="EG6" s="14"/>
      <c r="EH6" s="14"/>
      <c r="EI6" s="14"/>
      <c r="EJ6" s="14"/>
      <c r="EK6" s="14"/>
      <c r="EL6" s="14"/>
      <c r="EM6" s="14"/>
      <c r="EN6" s="14"/>
      <c r="EO6" s="14"/>
      <c r="FC6" s="45">
        <v>20000</v>
      </c>
      <c r="FD6" s="45">
        <v>4</v>
      </c>
      <c r="FE6" s="45">
        <v>3900</v>
      </c>
      <c r="FF6" s="45">
        <v>0.7</v>
      </c>
      <c r="FG6" s="45">
        <v>25</v>
      </c>
      <c r="FH6" s="45"/>
      <c r="FI6" s="45"/>
      <c r="FJ6" s="45"/>
      <c r="FK6" s="45"/>
      <c r="FL6" s="45"/>
      <c r="FM6" s="45"/>
      <c r="FN6" s="45"/>
      <c r="FO6" s="45"/>
    </row>
    <row r="7" spans="1:171" x14ac:dyDescent="0.25">
      <c r="A7" s="33">
        <v>6</v>
      </c>
      <c r="B7" s="31" t="s">
        <v>487</v>
      </c>
      <c r="C7" s="14">
        <v>0</v>
      </c>
      <c r="D7" s="14">
        <v>18</v>
      </c>
      <c r="E7" s="14">
        <v>6</v>
      </c>
      <c r="F7" s="14">
        <v>2</v>
      </c>
      <c r="G7" s="20">
        <v>9</v>
      </c>
      <c r="H7" s="20">
        <v>3</v>
      </c>
      <c r="I7" s="20"/>
      <c r="J7" s="20"/>
      <c r="K7" s="20"/>
      <c r="L7" s="14"/>
      <c r="M7" s="14"/>
      <c r="N7" s="14"/>
      <c r="O7" s="14"/>
      <c r="P7" s="14">
        <v>1</v>
      </c>
      <c r="Q7" s="14">
        <v>9</v>
      </c>
      <c r="R7" s="14">
        <v>4</v>
      </c>
      <c r="S7" s="14">
        <v>0</v>
      </c>
      <c r="T7" s="20">
        <v>9</v>
      </c>
      <c r="U7" s="14">
        <v>9</v>
      </c>
      <c r="V7" s="14"/>
      <c r="W7" s="14"/>
      <c r="X7" s="14"/>
      <c r="Y7" s="14"/>
      <c r="Z7" s="14"/>
      <c r="AA7" s="14"/>
      <c r="AB7" s="14"/>
      <c r="AC7" s="14">
        <v>1</v>
      </c>
      <c r="AD7" s="14">
        <v>10</v>
      </c>
      <c r="AE7" s="14">
        <v>1</v>
      </c>
      <c r="AF7" s="14">
        <v>1</v>
      </c>
      <c r="AG7" s="14">
        <v>4</v>
      </c>
      <c r="AH7" s="14">
        <v>3</v>
      </c>
      <c r="AI7" s="14">
        <v>0</v>
      </c>
      <c r="AJ7" s="14">
        <v>0</v>
      </c>
      <c r="AK7" s="14">
        <v>0</v>
      </c>
      <c r="AL7" s="14"/>
      <c r="AM7" s="14"/>
      <c r="AN7" s="14"/>
      <c r="AO7" s="14"/>
      <c r="AP7" s="14">
        <v>2</v>
      </c>
      <c r="AQ7" s="14">
        <v>13</v>
      </c>
      <c r="AR7" s="14">
        <v>3</v>
      </c>
      <c r="AS7" s="14">
        <v>3</v>
      </c>
      <c r="AT7" s="14">
        <v>4</v>
      </c>
      <c r="AU7" s="14">
        <v>3</v>
      </c>
      <c r="AV7" s="14">
        <v>0</v>
      </c>
      <c r="AW7" s="14">
        <v>0</v>
      </c>
      <c r="AX7" s="14">
        <v>0</v>
      </c>
      <c r="AY7" s="14"/>
      <c r="AZ7" s="14"/>
      <c r="BA7" s="14"/>
      <c r="BB7" s="14"/>
      <c r="BC7" s="14">
        <v>4</v>
      </c>
      <c r="BD7" s="14">
        <v>17</v>
      </c>
      <c r="BE7" s="14">
        <v>5</v>
      </c>
      <c r="BF7" s="14">
        <v>5</v>
      </c>
      <c r="BG7" s="14">
        <v>4</v>
      </c>
      <c r="BH7" s="14">
        <v>4</v>
      </c>
      <c r="BI7" s="14"/>
      <c r="BJ7" s="14"/>
      <c r="BK7" s="14"/>
      <c r="BL7" s="14"/>
      <c r="BM7" s="14"/>
      <c r="BN7" s="14"/>
      <c r="BO7" s="14"/>
      <c r="BP7" s="14">
        <v>3</v>
      </c>
      <c r="BQ7" s="14">
        <v>19</v>
      </c>
      <c r="BR7" s="14">
        <v>4</v>
      </c>
      <c r="BS7" s="14">
        <v>2</v>
      </c>
      <c r="BT7" s="14">
        <v>5</v>
      </c>
      <c r="BU7" s="14">
        <v>2</v>
      </c>
      <c r="BV7" s="14">
        <v>0</v>
      </c>
      <c r="BW7" s="14">
        <v>0</v>
      </c>
      <c r="BX7" s="14">
        <v>0</v>
      </c>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37"/>
      <c r="DR7" s="37"/>
      <c r="DS7" s="14"/>
      <c r="DT7" s="14"/>
      <c r="DU7" s="14"/>
      <c r="DV7" s="14"/>
      <c r="DW7" s="14"/>
      <c r="DX7" s="14"/>
      <c r="DY7" s="14"/>
      <c r="DZ7" s="14"/>
      <c r="EC7" s="37"/>
      <c r="ED7" s="37"/>
      <c r="EE7" s="37"/>
      <c r="EF7" s="37"/>
      <c r="EG7" s="37"/>
      <c r="EH7" s="37"/>
      <c r="EI7" s="37"/>
      <c r="EJ7" s="37"/>
      <c r="EK7" s="37"/>
      <c r="EL7" s="37"/>
      <c r="EM7" s="37"/>
      <c r="EN7" s="14"/>
      <c r="EO7" s="14"/>
      <c r="FC7" s="45">
        <v>25</v>
      </c>
      <c r="FD7" s="45">
        <v>20</v>
      </c>
      <c r="FE7" s="45">
        <v>40</v>
      </c>
      <c r="FF7" s="45">
        <v>25</v>
      </c>
      <c r="FG7" s="45">
        <v>50</v>
      </c>
      <c r="FH7" s="45">
        <v>60</v>
      </c>
      <c r="FI7" s="45">
        <v>10</v>
      </c>
      <c r="FJ7" s="45">
        <v>200</v>
      </c>
      <c r="FK7" s="45">
        <v>10</v>
      </c>
      <c r="FL7" s="45"/>
      <c r="FM7" s="45"/>
      <c r="FN7" s="45"/>
      <c r="FO7" s="45"/>
    </row>
    <row r="8" spans="1:171" x14ac:dyDescent="0.25">
      <c r="A8" s="33">
        <v>7</v>
      </c>
      <c r="B8" s="31" t="s">
        <v>234</v>
      </c>
      <c r="C8" s="14">
        <v>52</v>
      </c>
      <c r="D8" s="14">
        <v>12</v>
      </c>
      <c r="E8" s="14">
        <v>8</v>
      </c>
      <c r="F8" s="14">
        <v>2</v>
      </c>
      <c r="G8" s="20">
        <v>2</v>
      </c>
      <c r="H8" s="20">
        <v>0</v>
      </c>
      <c r="I8" s="20">
        <v>0</v>
      </c>
      <c r="J8" s="20"/>
      <c r="K8" s="20"/>
      <c r="L8" s="14"/>
      <c r="M8" s="14"/>
      <c r="N8" s="14"/>
      <c r="O8" s="14"/>
      <c r="P8" s="14">
        <v>68</v>
      </c>
      <c r="Q8" s="14">
        <v>5</v>
      </c>
      <c r="R8" s="14">
        <v>8</v>
      </c>
      <c r="S8" s="14">
        <v>3</v>
      </c>
      <c r="T8" s="20">
        <v>0</v>
      </c>
      <c r="U8" s="14">
        <v>0</v>
      </c>
      <c r="V8" s="14">
        <v>0</v>
      </c>
      <c r="W8" s="14"/>
      <c r="X8" s="14"/>
      <c r="Y8" s="14"/>
      <c r="Z8" s="14"/>
      <c r="AA8" s="14"/>
      <c r="AB8" s="14"/>
      <c r="AC8" s="14">
        <v>34</v>
      </c>
      <c r="AD8" s="14">
        <v>6</v>
      </c>
      <c r="AE8" s="14">
        <v>3</v>
      </c>
      <c r="AF8" s="14">
        <v>2</v>
      </c>
      <c r="AG8" s="14">
        <v>1</v>
      </c>
      <c r="AH8" s="14">
        <v>1</v>
      </c>
      <c r="AI8" s="14">
        <v>5</v>
      </c>
      <c r="AJ8" s="14"/>
      <c r="AK8" s="14"/>
      <c r="AL8" s="14"/>
      <c r="AM8" s="14"/>
      <c r="AN8" s="14"/>
      <c r="AO8" s="14"/>
      <c r="AP8" s="14">
        <v>29</v>
      </c>
      <c r="AQ8" s="14">
        <v>4</v>
      </c>
      <c r="AR8" s="14">
        <v>5</v>
      </c>
      <c r="AS8" s="14">
        <v>3</v>
      </c>
      <c r="AT8" s="14">
        <v>1</v>
      </c>
      <c r="AU8" s="14">
        <v>0</v>
      </c>
      <c r="AV8" s="14">
        <v>18</v>
      </c>
      <c r="AW8" s="14"/>
      <c r="AX8" s="14"/>
      <c r="AY8" s="14"/>
      <c r="AZ8" s="14"/>
      <c r="BA8" s="14"/>
      <c r="BB8" s="14"/>
      <c r="BC8" s="14">
        <v>41</v>
      </c>
      <c r="BD8" s="14">
        <v>8</v>
      </c>
      <c r="BE8" s="14">
        <v>2</v>
      </c>
      <c r="BF8" s="14">
        <v>0</v>
      </c>
      <c r="BG8" s="14">
        <v>1</v>
      </c>
      <c r="BH8" s="14">
        <v>0</v>
      </c>
      <c r="BI8" s="14">
        <v>0</v>
      </c>
      <c r="BJ8" s="14"/>
      <c r="BK8" s="14"/>
      <c r="BL8" s="14"/>
      <c r="BM8" s="14"/>
      <c r="BN8" s="14"/>
      <c r="BO8" s="14"/>
      <c r="BP8" s="14">
        <v>33</v>
      </c>
      <c r="BQ8" s="14">
        <v>11</v>
      </c>
      <c r="BR8" s="14">
        <v>6</v>
      </c>
      <c r="BS8" s="14">
        <v>1</v>
      </c>
      <c r="BT8" s="14">
        <v>1</v>
      </c>
      <c r="BU8" s="14">
        <v>0</v>
      </c>
      <c r="BV8" s="14">
        <v>0</v>
      </c>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37"/>
      <c r="DR8" s="37"/>
      <c r="DS8" s="14"/>
      <c r="DT8" s="14"/>
      <c r="DU8" s="14"/>
      <c r="DV8" s="14"/>
      <c r="EC8" s="14"/>
      <c r="ED8" s="14"/>
      <c r="EE8" s="14"/>
      <c r="EF8" s="14"/>
      <c r="EG8" s="14"/>
      <c r="EH8" s="14"/>
      <c r="EI8" s="14"/>
      <c r="EJ8" s="14"/>
      <c r="EK8" s="14"/>
      <c r="EL8" s="14"/>
      <c r="EM8" s="14"/>
      <c r="EN8" s="14"/>
      <c r="EO8" s="14"/>
      <c r="FC8" s="45">
        <v>450</v>
      </c>
      <c r="FD8" s="45">
        <v>85</v>
      </c>
      <c r="FE8" s="45">
        <v>80</v>
      </c>
      <c r="FF8" s="45">
        <v>20</v>
      </c>
      <c r="FG8" s="45">
        <v>15</v>
      </c>
      <c r="FH8" s="45">
        <v>3</v>
      </c>
      <c r="FI8" s="45">
        <v>75</v>
      </c>
      <c r="FJ8" s="45"/>
      <c r="FK8" s="45"/>
      <c r="FL8" s="45"/>
      <c r="FM8" s="45"/>
      <c r="FN8" s="45"/>
      <c r="FO8" s="45"/>
    </row>
    <row r="9" spans="1:171" x14ac:dyDescent="0.25">
      <c r="A9" s="33">
        <v>8</v>
      </c>
      <c r="B9" s="31" t="s">
        <v>25</v>
      </c>
      <c r="C9" s="14">
        <v>894</v>
      </c>
      <c r="D9" s="14">
        <v>55.5</v>
      </c>
      <c r="E9" s="14">
        <v>1.71</v>
      </c>
      <c r="F9" s="14">
        <v>7.49</v>
      </c>
      <c r="G9" s="20">
        <v>363</v>
      </c>
      <c r="H9" s="20">
        <v>26</v>
      </c>
      <c r="I9" s="20"/>
      <c r="J9" s="20">
        <v>30</v>
      </c>
      <c r="K9" s="20">
        <v>32</v>
      </c>
      <c r="L9" s="14">
        <v>23</v>
      </c>
      <c r="M9" s="14">
        <v>24</v>
      </c>
      <c r="N9" s="14">
        <v>22</v>
      </c>
      <c r="O9" s="14">
        <v>28</v>
      </c>
      <c r="P9" s="14">
        <v>955</v>
      </c>
      <c r="Q9" s="14">
        <v>60.6</v>
      </c>
      <c r="R9" s="14">
        <v>1.66</v>
      </c>
      <c r="S9" s="14">
        <v>8.4499999999999993</v>
      </c>
      <c r="T9" s="20">
        <v>383</v>
      </c>
      <c r="U9" s="14">
        <v>32</v>
      </c>
      <c r="V9" s="14"/>
      <c r="W9" s="14">
        <v>33</v>
      </c>
      <c r="X9" s="14">
        <v>31</v>
      </c>
      <c r="Y9" s="14">
        <v>27</v>
      </c>
      <c r="Z9" s="14">
        <v>30</v>
      </c>
      <c r="AA9" s="14">
        <v>23</v>
      </c>
      <c r="AB9" s="14">
        <v>48</v>
      </c>
      <c r="AC9" s="14">
        <v>864</v>
      </c>
      <c r="AD9" s="14">
        <v>62</v>
      </c>
      <c r="AE9" s="14">
        <v>1.83</v>
      </c>
      <c r="AF9" s="14">
        <v>9.14</v>
      </c>
      <c r="AG9" s="14">
        <v>276</v>
      </c>
      <c r="AH9" s="14">
        <v>26</v>
      </c>
      <c r="AI9" s="14"/>
      <c r="AJ9" s="14">
        <v>34</v>
      </c>
      <c r="AK9" s="14">
        <v>30</v>
      </c>
      <c r="AL9" s="14">
        <v>20</v>
      </c>
      <c r="AM9" s="14">
        <v>25</v>
      </c>
      <c r="AN9" s="14">
        <v>20</v>
      </c>
      <c r="AO9" s="14">
        <v>26</v>
      </c>
      <c r="AP9" s="14">
        <v>897</v>
      </c>
      <c r="AQ9" s="14">
        <v>58.2</v>
      </c>
      <c r="AR9" s="14">
        <v>1.73</v>
      </c>
      <c r="AS9" s="14">
        <v>9.19</v>
      </c>
      <c r="AT9" s="14">
        <v>338</v>
      </c>
      <c r="AU9" s="14">
        <v>27</v>
      </c>
      <c r="AV9" s="14"/>
      <c r="AW9" s="14">
        <v>30</v>
      </c>
      <c r="AX9" s="14">
        <v>30</v>
      </c>
      <c r="AY9" s="14">
        <v>24</v>
      </c>
      <c r="AZ9" s="14">
        <v>29</v>
      </c>
      <c r="BA9" s="14">
        <v>23</v>
      </c>
      <c r="BB9" s="14">
        <v>27</v>
      </c>
      <c r="BC9" s="14">
        <v>839</v>
      </c>
      <c r="BD9" s="14">
        <v>57.7</v>
      </c>
      <c r="BE9" s="14">
        <v>16.7</v>
      </c>
      <c r="BF9" s="14">
        <v>8.4</v>
      </c>
      <c r="BG9" s="14">
        <v>309</v>
      </c>
      <c r="BH9" s="14">
        <v>27</v>
      </c>
      <c r="BI9" s="14"/>
      <c r="BJ9" s="14">
        <v>30</v>
      </c>
      <c r="BK9" s="14">
        <v>30</v>
      </c>
      <c r="BL9" s="14">
        <v>21</v>
      </c>
      <c r="BM9" s="14">
        <v>25</v>
      </c>
      <c r="BN9" s="14">
        <v>23</v>
      </c>
      <c r="BO9" s="14">
        <v>30</v>
      </c>
      <c r="BP9" s="14">
        <v>901</v>
      </c>
      <c r="BQ9" s="14">
        <v>58.5</v>
      </c>
      <c r="BR9" s="14">
        <v>1.82</v>
      </c>
      <c r="BS9" s="14">
        <v>9.15</v>
      </c>
      <c r="BT9" s="14">
        <v>319</v>
      </c>
      <c r="BU9" s="14">
        <v>27</v>
      </c>
      <c r="BV9" s="14"/>
      <c r="BW9" s="14">
        <v>32</v>
      </c>
      <c r="BX9" s="14">
        <v>30</v>
      </c>
      <c r="BY9" s="14">
        <v>22</v>
      </c>
      <c r="BZ9" s="14">
        <v>27</v>
      </c>
      <c r="CA9" s="14">
        <v>22</v>
      </c>
      <c r="CB9" s="14">
        <v>31</v>
      </c>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45">
        <v>9100</v>
      </c>
      <c r="FD9" s="45">
        <v>58</v>
      </c>
      <c r="FE9" s="45">
        <v>1.9</v>
      </c>
      <c r="FF9" s="45">
        <v>8</v>
      </c>
      <c r="FG9" s="45">
        <v>3000</v>
      </c>
      <c r="FH9" s="45">
        <v>25</v>
      </c>
      <c r="FI9" s="45">
        <v>0</v>
      </c>
      <c r="FJ9" s="45">
        <v>25</v>
      </c>
      <c r="FK9" s="45">
        <v>25</v>
      </c>
      <c r="FL9" s="45">
        <v>25</v>
      </c>
      <c r="FM9" s="45">
        <v>25</v>
      </c>
      <c r="FN9" s="45">
        <v>25</v>
      </c>
      <c r="FO9" s="45">
        <v>25</v>
      </c>
    </row>
    <row r="10" spans="1:171" x14ac:dyDescent="0.25">
      <c r="A10" s="33">
        <v>9</v>
      </c>
      <c r="B10" s="31" t="s">
        <v>69</v>
      </c>
      <c r="C10" s="14">
        <v>5</v>
      </c>
      <c r="D10" s="14">
        <v>58</v>
      </c>
      <c r="E10" s="14">
        <v>27</v>
      </c>
      <c r="F10" s="14">
        <v>32</v>
      </c>
      <c r="G10" s="20">
        <v>39</v>
      </c>
      <c r="H10" s="20">
        <v>77</v>
      </c>
      <c r="I10" s="20">
        <v>98</v>
      </c>
      <c r="J10" s="20">
        <v>100</v>
      </c>
      <c r="K10" s="20">
        <v>10</v>
      </c>
      <c r="L10" s="14">
        <v>24</v>
      </c>
      <c r="M10" s="14"/>
      <c r="N10" s="14"/>
      <c r="O10" s="14"/>
      <c r="P10" s="14">
        <v>0</v>
      </c>
      <c r="Q10" s="14">
        <v>61</v>
      </c>
      <c r="R10" s="14">
        <v>23</v>
      </c>
      <c r="S10" s="14">
        <v>36</v>
      </c>
      <c r="T10" s="20">
        <v>47</v>
      </c>
      <c r="U10" s="14">
        <v>100</v>
      </c>
      <c r="V10" s="14">
        <v>94</v>
      </c>
      <c r="W10" s="14">
        <v>100</v>
      </c>
      <c r="X10" s="14">
        <v>30</v>
      </c>
      <c r="Y10" s="14">
        <v>42</v>
      </c>
      <c r="Z10" s="14"/>
      <c r="AA10" s="14"/>
      <c r="AB10" s="14"/>
      <c r="AC10" s="14">
        <v>1</v>
      </c>
      <c r="AD10" s="14">
        <v>52</v>
      </c>
      <c r="AE10" s="14">
        <v>11</v>
      </c>
      <c r="AF10" s="14">
        <v>33</v>
      </c>
      <c r="AG10" s="14">
        <v>36</v>
      </c>
      <c r="AH10" s="14">
        <v>92</v>
      </c>
      <c r="AI10" s="14">
        <v>93</v>
      </c>
      <c r="AJ10" s="14">
        <v>100</v>
      </c>
      <c r="AK10" s="14">
        <v>14</v>
      </c>
      <c r="AL10" s="14">
        <v>29</v>
      </c>
      <c r="AM10" s="14"/>
      <c r="AN10" s="14"/>
      <c r="AO10" s="14"/>
      <c r="AP10" s="14">
        <v>17</v>
      </c>
      <c r="AQ10" s="14">
        <v>55</v>
      </c>
      <c r="AR10" s="14">
        <v>71</v>
      </c>
      <c r="AS10" s="14">
        <v>35</v>
      </c>
      <c r="AT10" s="14">
        <v>61</v>
      </c>
      <c r="AU10" s="14">
        <v>83</v>
      </c>
      <c r="AV10" s="14">
        <v>108</v>
      </c>
      <c r="AW10" s="14">
        <v>100</v>
      </c>
      <c r="AX10" s="14">
        <v>22</v>
      </c>
      <c r="AY10" s="14">
        <v>16</v>
      </c>
      <c r="AZ10" s="14"/>
      <c r="BA10" s="14"/>
      <c r="BB10" s="14"/>
      <c r="BC10" s="14">
        <v>0</v>
      </c>
      <c r="BD10" s="14">
        <v>67</v>
      </c>
      <c r="BE10" s="14">
        <v>15</v>
      </c>
      <c r="BF10" s="14">
        <v>23</v>
      </c>
      <c r="BG10" s="14">
        <v>53</v>
      </c>
      <c r="BH10" s="14">
        <v>89</v>
      </c>
      <c r="BI10" s="14">
        <v>73</v>
      </c>
      <c r="BJ10" s="14">
        <v>100</v>
      </c>
      <c r="BK10" s="14">
        <v>20</v>
      </c>
      <c r="BL10" s="14">
        <v>13</v>
      </c>
      <c r="BM10" s="14"/>
      <c r="BN10" s="14"/>
      <c r="BO10" s="14"/>
      <c r="BP10" s="14">
        <v>1</v>
      </c>
      <c r="BQ10" s="14">
        <v>76</v>
      </c>
      <c r="BR10" s="14">
        <v>14</v>
      </c>
      <c r="BS10" s="14">
        <v>27</v>
      </c>
      <c r="BT10" s="14">
        <v>100</v>
      </c>
      <c r="BU10" s="14">
        <v>100</v>
      </c>
      <c r="BV10" s="14">
        <v>79</v>
      </c>
      <c r="BW10" s="14">
        <v>100</v>
      </c>
      <c r="BX10" s="14">
        <v>12</v>
      </c>
      <c r="BY10" s="14">
        <v>3</v>
      </c>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EC10" s="14"/>
      <c r="ED10" s="14"/>
      <c r="EE10" s="14"/>
      <c r="EF10" s="14"/>
      <c r="EG10" s="14"/>
      <c r="EH10" s="14"/>
      <c r="EI10" s="14"/>
      <c r="EJ10" s="14"/>
      <c r="EK10" s="14"/>
      <c r="EL10" s="14"/>
      <c r="EM10" s="14"/>
      <c r="EN10" s="14"/>
      <c r="EO10" s="14"/>
      <c r="FC10" s="45">
        <v>50</v>
      </c>
      <c r="FD10" s="45">
        <v>725</v>
      </c>
      <c r="FE10" s="45">
        <v>250</v>
      </c>
      <c r="FF10" s="45">
        <v>360</v>
      </c>
      <c r="FG10" s="45">
        <v>90</v>
      </c>
      <c r="FH10" s="45">
        <v>90</v>
      </c>
      <c r="FI10" s="45">
        <v>1065</v>
      </c>
      <c r="FJ10" s="45">
        <v>95</v>
      </c>
      <c r="FK10" s="45">
        <v>290</v>
      </c>
      <c r="FL10" s="45">
        <v>275</v>
      </c>
      <c r="FM10" s="45"/>
      <c r="FN10" s="45"/>
      <c r="FO10" s="45"/>
    </row>
    <row r="11" spans="1:171" x14ac:dyDescent="0.25">
      <c r="A11" s="33">
        <v>10</v>
      </c>
      <c r="B11" s="31" t="s">
        <v>227</v>
      </c>
      <c r="C11" s="14">
        <v>176</v>
      </c>
      <c r="D11" s="14">
        <v>8.8000000000000007</v>
      </c>
      <c r="E11" s="14">
        <v>185</v>
      </c>
      <c r="F11" s="14">
        <v>15</v>
      </c>
      <c r="G11" s="20"/>
      <c r="H11" s="20"/>
      <c r="I11" s="20"/>
      <c r="J11" s="20"/>
      <c r="K11" s="20"/>
      <c r="L11" s="14"/>
      <c r="M11" s="14"/>
      <c r="N11" s="14"/>
      <c r="O11" s="14"/>
      <c r="P11" s="14">
        <v>193</v>
      </c>
      <c r="Q11" s="14">
        <v>8.4</v>
      </c>
      <c r="R11" s="14">
        <v>255</v>
      </c>
      <c r="S11" s="14">
        <v>13</v>
      </c>
      <c r="T11" s="20"/>
      <c r="U11" s="14"/>
      <c r="V11" s="14"/>
      <c r="W11" s="14"/>
      <c r="X11" s="14"/>
      <c r="Y11" s="14"/>
      <c r="Z11" s="14"/>
      <c r="AA11" s="14"/>
      <c r="AB11" s="14"/>
      <c r="AC11" s="14">
        <v>170</v>
      </c>
      <c r="AD11" s="14">
        <v>8.5</v>
      </c>
      <c r="AE11" s="14">
        <v>261</v>
      </c>
      <c r="AF11" s="14">
        <v>44</v>
      </c>
      <c r="AG11" s="14"/>
      <c r="AH11" s="14"/>
      <c r="AI11" s="14"/>
      <c r="AJ11" s="14"/>
      <c r="AK11" s="14"/>
      <c r="AL11" s="14"/>
      <c r="AM11" s="14"/>
      <c r="AN11" s="14"/>
      <c r="AO11" s="14"/>
      <c r="AP11" s="14">
        <v>235</v>
      </c>
      <c r="AQ11" s="14">
        <v>10.7</v>
      </c>
      <c r="AR11" s="14">
        <v>242</v>
      </c>
      <c r="AS11" s="14">
        <v>28</v>
      </c>
      <c r="AT11" s="14"/>
      <c r="AU11" s="14"/>
      <c r="AV11" s="14"/>
      <c r="AW11" s="14"/>
      <c r="AX11" s="14"/>
      <c r="AY11" s="14"/>
      <c r="AZ11" s="14"/>
      <c r="BA11" s="14"/>
      <c r="BB11" s="14"/>
      <c r="BC11" s="14">
        <v>178</v>
      </c>
      <c r="BD11" s="14">
        <v>9.4</v>
      </c>
      <c r="BE11" s="14">
        <v>201</v>
      </c>
      <c r="BF11" s="14">
        <v>4</v>
      </c>
      <c r="BG11" s="14"/>
      <c r="BH11" s="14"/>
      <c r="BI11" s="14"/>
      <c r="BJ11" s="14"/>
      <c r="BK11" s="14"/>
      <c r="BL11" s="14"/>
      <c r="BM11" s="14"/>
      <c r="BN11" s="14"/>
      <c r="BO11" s="14"/>
      <c r="BP11" s="14">
        <v>168</v>
      </c>
      <c r="BQ11" s="14">
        <v>8.8000000000000007</v>
      </c>
      <c r="BR11" s="14">
        <v>127</v>
      </c>
      <c r="BS11" s="14">
        <v>20</v>
      </c>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E11" s="14"/>
      <c r="DF11" s="14"/>
      <c r="DG11" s="14"/>
      <c r="DH11" s="14"/>
      <c r="DI11" s="14"/>
      <c r="DJ11" s="14"/>
      <c r="DK11" s="14"/>
      <c r="DL11" s="14"/>
      <c r="DM11" s="14"/>
      <c r="DN11" s="14"/>
      <c r="DO11" s="14"/>
      <c r="DP11" s="14"/>
      <c r="DS11" s="14"/>
      <c r="DT11" s="14"/>
      <c r="DU11" s="14"/>
      <c r="DV11" s="14"/>
      <c r="EC11" s="14"/>
      <c r="ED11" s="14"/>
      <c r="EE11" s="14"/>
      <c r="EF11" s="14"/>
      <c r="EG11" s="14"/>
      <c r="EH11" s="14"/>
      <c r="EI11" s="14"/>
      <c r="EJ11" s="14"/>
      <c r="EK11" s="14"/>
      <c r="EL11" s="14"/>
      <c r="EM11" s="14"/>
      <c r="EN11" s="14"/>
      <c r="EO11" s="14"/>
      <c r="FC11" s="45">
        <v>2275</v>
      </c>
      <c r="FD11" s="45">
        <v>9</v>
      </c>
      <c r="FE11" s="45">
        <v>2000</v>
      </c>
      <c r="FF11" s="45">
        <v>200</v>
      </c>
      <c r="FG11" s="45"/>
      <c r="FH11" s="45"/>
      <c r="FI11" s="45"/>
      <c r="FJ11" s="45"/>
      <c r="FK11" s="45"/>
      <c r="FL11" s="45"/>
      <c r="FM11" s="45"/>
      <c r="FN11" s="45"/>
      <c r="FO11" s="45"/>
    </row>
    <row r="12" spans="1:171" x14ac:dyDescent="0.25">
      <c r="A12" s="29">
        <v>11</v>
      </c>
      <c r="B12" s="31" t="s">
        <v>6</v>
      </c>
      <c r="C12" s="14">
        <v>174</v>
      </c>
      <c r="D12" s="14">
        <v>427</v>
      </c>
      <c r="E12" s="14">
        <v>21.4</v>
      </c>
      <c r="F12" s="14">
        <v>0</v>
      </c>
      <c r="G12" s="20">
        <v>38</v>
      </c>
      <c r="H12" s="20">
        <v>0</v>
      </c>
      <c r="I12" s="20">
        <v>19</v>
      </c>
      <c r="J12" s="20">
        <v>51</v>
      </c>
      <c r="K12" s="20">
        <v>719</v>
      </c>
      <c r="L12" s="14">
        <v>32.4</v>
      </c>
      <c r="M12" s="14">
        <v>9</v>
      </c>
      <c r="N12" s="14">
        <v>15</v>
      </c>
      <c r="O12" s="14">
        <v>690</v>
      </c>
      <c r="P12" s="14">
        <v>145</v>
      </c>
      <c r="Q12" s="14">
        <v>464</v>
      </c>
      <c r="R12" s="14">
        <v>21.2</v>
      </c>
      <c r="S12" s="14">
        <v>0</v>
      </c>
      <c r="T12" s="20">
        <v>40</v>
      </c>
      <c r="U12" s="14">
        <v>0</v>
      </c>
      <c r="V12" s="14">
        <v>16</v>
      </c>
      <c r="W12" s="14">
        <v>67</v>
      </c>
      <c r="X12" s="14">
        <v>756</v>
      </c>
      <c r="Y12" s="14">
        <v>28.6</v>
      </c>
      <c r="Z12" s="14">
        <v>10</v>
      </c>
      <c r="AA12" s="14">
        <v>26</v>
      </c>
      <c r="AB12" s="14">
        <v>769</v>
      </c>
      <c r="AC12" s="14">
        <v>159</v>
      </c>
      <c r="AD12" s="14">
        <v>404</v>
      </c>
      <c r="AE12" s="14">
        <v>21.1</v>
      </c>
      <c r="AF12" s="14">
        <v>0</v>
      </c>
      <c r="AG12" s="14">
        <v>28</v>
      </c>
      <c r="AH12" s="14">
        <v>0</v>
      </c>
      <c r="AI12" s="14">
        <v>15</v>
      </c>
      <c r="AJ12" s="14">
        <v>54</v>
      </c>
      <c r="AK12" s="14">
        <v>654</v>
      </c>
      <c r="AL12" s="14">
        <v>26.4</v>
      </c>
      <c r="AM12" s="14">
        <v>10</v>
      </c>
      <c r="AN12" s="14">
        <v>13</v>
      </c>
      <c r="AO12" s="14">
        <v>747</v>
      </c>
      <c r="AP12" s="14">
        <v>179</v>
      </c>
      <c r="AQ12" s="14">
        <v>665</v>
      </c>
      <c r="AR12" s="14">
        <v>35.1</v>
      </c>
      <c r="AS12" s="14">
        <v>0</v>
      </c>
      <c r="AT12" s="14">
        <v>25</v>
      </c>
      <c r="AU12" s="14">
        <v>0</v>
      </c>
      <c r="AV12" s="14">
        <v>14</v>
      </c>
      <c r="AW12" s="14">
        <v>56</v>
      </c>
      <c r="AX12" s="14">
        <v>740</v>
      </c>
      <c r="AY12" s="14">
        <v>33.4</v>
      </c>
      <c r="AZ12" s="14">
        <v>9</v>
      </c>
      <c r="BA12" s="14">
        <v>24</v>
      </c>
      <c r="BB12" s="14">
        <v>708</v>
      </c>
      <c r="BC12" s="14">
        <v>160</v>
      </c>
      <c r="BD12" s="14">
        <v>261</v>
      </c>
      <c r="BE12" s="14">
        <v>21.6</v>
      </c>
      <c r="BF12" s="14">
        <v>0</v>
      </c>
      <c r="BG12" s="14">
        <v>25</v>
      </c>
      <c r="BH12" s="14">
        <v>0</v>
      </c>
      <c r="BI12" s="14">
        <v>11</v>
      </c>
      <c r="BJ12" s="14">
        <v>57</v>
      </c>
      <c r="BK12" s="14">
        <v>671</v>
      </c>
      <c r="BL12" s="14">
        <v>32</v>
      </c>
      <c r="BM12" s="14">
        <v>10</v>
      </c>
      <c r="BN12" s="14">
        <v>14</v>
      </c>
      <c r="BO12" s="14">
        <v>769</v>
      </c>
      <c r="BP12" s="14">
        <v>163</v>
      </c>
      <c r="BQ12" s="14">
        <v>352</v>
      </c>
      <c r="BR12" s="14">
        <v>18.899999999999999</v>
      </c>
      <c r="BS12" s="14">
        <v>0</v>
      </c>
      <c r="BT12" s="14">
        <v>30</v>
      </c>
      <c r="BU12" s="14">
        <v>0</v>
      </c>
      <c r="BV12" s="14">
        <v>7</v>
      </c>
      <c r="BW12" s="14">
        <v>43</v>
      </c>
      <c r="BX12" s="14">
        <v>502</v>
      </c>
      <c r="BY12" s="14">
        <v>26</v>
      </c>
      <c r="BZ12" s="14">
        <v>7</v>
      </c>
      <c r="CA12" s="14">
        <v>15</v>
      </c>
      <c r="CB12" s="14">
        <v>760</v>
      </c>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45">
        <v>2125</v>
      </c>
      <c r="FD12" s="45">
        <v>5200</v>
      </c>
      <c r="FE12" s="45">
        <v>22</v>
      </c>
      <c r="FF12" s="45">
        <v>1</v>
      </c>
      <c r="FG12" s="45">
        <v>340</v>
      </c>
      <c r="FH12" s="45">
        <v>1</v>
      </c>
      <c r="FI12" s="45">
        <v>200</v>
      </c>
      <c r="FJ12" s="45">
        <v>775</v>
      </c>
      <c r="FK12" s="45">
        <v>7900</v>
      </c>
      <c r="FL12" s="45">
        <v>30</v>
      </c>
      <c r="FM12" s="45">
        <v>110</v>
      </c>
      <c r="FN12" s="45">
        <v>295</v>
      </c>
      <c r="FO12" s="45">
        <v>7900</v>
      </c>
    </row>
    <row r="13" spans="1:171" x14ac:dyDescent="0.25">
      <c r="A13" s="29">
        <v>12</v>
      </c>
      <c r="B13" s="31" t="s">
        <v>435</v>
      </c>
      <c r="C13" s="14">
        <v>6</v>
      </c>
      <c r="D13" s="14">
        <v>16.399999999999999</v>
      </c>
      <c r="E13" s="14">
        <v>5</v>
      </c>
      <c r="F13" s="14">
        <v>13.6</v>
      </c>
      <c r="G13" s="20">
        <v>506</v>
      </c>
      <c r="H13" s="20">
        <v>3249</v>
      </c>
      <c r="I13" s="20">
        <v>672354</v>
      </c>
      <c r="J13" s="20"/>
      <c r="K13" s="20"/>
      <c r="L13" s="14"/>
      <c r="M13" s="14"/>
      <c r="N13" s="14"/>
      <c r="O13" s="14"/>
      <c r="P13" s="14">
        <v>4</v>
      </c>
      <c r="Q13" s="14">
        <v>13.6</v>
      </c>
      <c r="R13" s="14">
        <v>4</v>
      </c>
      <c r="S13" s="14">
        <v>12.3</v>
      </c>
      <c r="T13" s="20">
        <v>267</v>
      </c>
      <c r="U13" s="14">
        <v>2180</v>
      </c>
      <c r="V13" s="14">
        <v>458329</v>
      </c>
      <c r="W13" s="14"/>
      <c r="X13" s="14"/>
      <c r="Y13" s="14"/>
      <c r="Z13" s="14"/>
      <c r="AA13" s="14"/>
      <c r="AB13" s="14"/>
      <c r="AC13" s="14">
        <v>3</v>
      </c>
      <c r="AD13" s="14">
        <v>11.8</v>
      </c>
      <c r="AE13" s="14">
        <v>1</v>
      </c>
      <c r="AF13" s="14">
        <v>9.1</v>
      </c>
      <c r="AG13" s="14"/>
      <c r="AH13" s="14"/>
      <c r="AI13" s="14">
        <v>390236</v>
      </c>
      <c r="AJ13" s="14"/>
      <c r="AK13" s="14"/>
      <c r="AL13" s="14"/>
      <c r="AM13" s="14"/>
      <c r="AN13" s="14"/>
      <c r="AO13" s="14"/>
      <c r="AP13" s="14">
        <v>7</v>
      </c>
      <c r="AQ13" s="14">
        <v>13.6</v>
      </c>
      <c r="AR13" s="14">
        <v>7</v>
      </c>
      <c r="AS13" s="14">
        <v>11.6</v>
      </c>
      <c r="AT13" s="14"/>
      <c r="AU13" s="14"/>
      <c r="AV13" s="14">
        <v>260869</v>
      </c>
      <c r="AW13" s="14"/>
      <c r="AX13" s="14"/>
      <c r="AY13" s="14"/>
      <c r="AZ13" s="14"/>
      <c r="BA13" s="14"/>
      <c r="BB13" s="14"/>
      <c r="BC13" s="14">
        <v>4</v>
      </c>
      <c r="BD13" s="14">
        <v>13.1</v>
      </c>
      <c r="BE13" s="14">
        <v>3</v>
      </c>
      <c r="BF13" s="14">
        <v>10.9</v>
      </c>
      <c r="BG13" s="14"/>
      <c r="BH13" s="14"/>
      <c r="BI13" s="14">
        <v>464554</v>
      </c>
      <c r="BJ13" s="14"/>
      <c r="BK13" s="14"/>
      <c r="BL13" s="14"/>
      <c r="BM13" s="14"/>
      <c r="BN13" s="14"/>
      <c r="BO13" s="14"/>
      <c r="BP13" s="14">
        <v>6</v>
      </c>
      <c r="BQ13" s="14">
        <v>13.6</v>
      </c>
      <c r="BR13" s="14">
        <v>5</v>
      </c>
      <c r="BS13" s="14">
        <v>11.4</v>
      </c>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45">
        <v>40</v>
      </c>
      <c r="FD13" s="45">
        <v>9</v>
      </c>
      <c r="FE13" s="45">
        <v>25</v>
      </c>
      <c r="FF13" s="45">
        <v>6.5</v>
      </c>
      <c r="FG13" s="45">
        <v>2500</v>
      </c>
      <c r="FH13" s="45">
        <v>25600</v>
      </c>
      <c r="FI13" s="45">
        <v>4785563</v>
      </c>
      <c r="FJ13" s="45"/>
      <c r="FK13" s="45"/>
      <c r="FL13" s="45"/>
      <c r="FM13" s="45"/>
      <c r="FN13" s="45"/>
      <c r="FO13" s="45"/>
    </row>
    <row r="14" spans="1:171" x14ac:dyDescent="0.25">
      <c r="A14" s="29">
        <v>13</v>
      </c>
      <c r="B14" s="31" t="s">
        <v>228</v>
      </c>
      <c r="C14" s="14">
        <v>407</v>
      </c>
      <c r="D14" s="14">
        <v>48</v>
      </c>
      <c r="E14" s="14">
        <v>222</v>
      </c>
      <c r="F14" s="14">
        <v>204</v>
      </c>
      <c r="G14" s="20">
        <v>215</v>
      </c>
      <c r="H14" s="20">
        <v>2</v>
      </c>
      <c r="I14" s="20">
        <v>2.44</v>
      </c>
      <c r="J14" s="20">
        <v>54.9</v>
      </c>
      <c r="K14" s="20">
        <v>3.05</v>
      </c>
      <c r="L14" s="14">
        <v>275</v>
      </c>
      <c r="M14" s="14">
        <v>20</v>
      </c>
      <c r="N14" s="14"/>
      <c r="O14" s="14"/>
      <c r="P14" s="14">
        <v>477</v>
      </c>
      <c r="Q14" s="14">
        <v>38</v>
      </c>
      <c r="R14" s="14">
        <v>259</v>
      </c>
      <c r="S14" s="14">
        <v>254</v>
      </c>
      <c r="T14" s="20">
        <v>215</v>
      </c>
      <c r="U14" s="14">
        <v>2</v>
      </c>
      <c r="V14" s="14">
        <v>2.41</v>
      </c>
      <c r="W14" s="14">
        <v>54.1</v>
      </c>
      <c r="X14" s="14">
        <v>7.97</v>
      </c>
      <c r="Y14" s="14">
        <v>338</v>
      </c>
      <c r="Z14" s="14">
        <v>50</v>
      </c>
      <c r="AA14" s="14"/>
      <c r="AB14" s="14"/>
      <c r="AC14" s="14">
        <v>360</v>
      </c>
      <c r="AD14" s="14">
        <v>59</v>
      </c>
      <c r="AE14" s="14">
        <v>212</v>
      </c>
      <c r="AF14" s="14">
        <v>210</v>
      </c>
      <c r="AG14" s="14">
        <v>202</v>
      </c>
      <c r="AH14" s="14">
        <v>2</v>
      </c>
      <c r="AI14" s="14">
        <v>2.2999999999999998</v>
      </c>
      <c r="AJ14" s="14">
        <v>52.3</v>
      </c>
      <c r="AK14" s="14">
        <v>7.19</v>
      </c>
      <c r="AL14" s="14">
        <v>279</v>
      </c>
      <c r="AM14" s="14">
        <v>86</v>
      </c>
      <c r="AN14" s="14"/>
      <c r="AO14" s="14"/>
      <c r="AP14" s="14">
        <v>373</v>
      </c>
      <c r="AQ14" s="14">
        <v>28</v>
      </c>
      <c r="AR14" s="14">
        <v>203</v>
      </c>
      <c r="AS14" s="14">
        <v>184</v>
      </c>
      <c r="AT14" s="14">
        <v>203</v>
      </c>
      <c r="AU14" s="14">
        <v>1</v>
      </c>
      <c r="AV14" s="14">
        <v>2</v>
      </c>
      <c r="AW14" s="14">
        <v>45</v>
      </c>
      <c r="AX14" s="14">
        <v>3.3</v>
      </c>
      <c r="AY14" s="14">
        <v>257</v>
      </c>
      <c r="AZ14" s="14">
        <v>91</v>
      </c>
      <c r="BA14" s="14"/>
      <c r="BB14" s="14"/>
      <c r="BC14" s="14">
        <v>322</v>
      </c>
      <c r="BD14" s="14">
        <v>26</v>
      </c>
      <c r="BE14" s="14">
        <v>222</v>
      </c>
      <c r="BF14" s="14">
        <v>185</v>
      </c>
      <c r="BG14" s="14">
        <v>196</v>
      </c>
      <c r="BH14" s="14">
        <v>0</v>
      </c>
      <c r="BI14" s="14">
        <v>1.67</v>
      </c>
      <c r="BJ14" s="14">
        <v>50.1</v>
      </c>
      <c r="BK14" s="14">
        <v>6.89</v>
      </c>
      <c r="BL14" s="14">
        <v>299</v>
      </c>
      <c r="BM14" s="14">
        <v>64</v>
      </c>
      <c r="BN14" s="14"/>
      <c r="BO14" s="14"/>
      <c r="BP14" s="14">
        <v>334</v>
      </c>
      <c r="BQ14" s="14">
        <v>43</v>
      </c>
      <c r="BR14" s="14">
        <v>185</v>
      </c>
      <c r="BS14" s="14">
        <v>187</v>
      </c>
      <c r="BT14" s="14">
        <v>183</v>
      </c>
      <c r="BU14" s="14">
        <v>1</v>
      </c>
      <c r="BV14" s="14">
        <v>1.64</v>
      </c>
      <c r="BW14" s="14">
        <v>49.1</v>
      </c>
      <c r="BX14" s="14">
        <v>7.4</v>
      </c>
      <c r="BY14" s="14">
        <v>254</v>
      </c>
      <c r="BZ14" s="14">
        <v>100</v>
      </c>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C14" s="45">
        <v>3350</v>
      </c>
      <c r="FD14" s="45">
        <v>470</v>
      </c>
      <c r="FE14" s="45">
        <v>2450</v>
      </c>
      <c r="FF14" s="45">
        <v>1900</v>
      </c>
      <c r="FG14" s="45">
        <v>2175</v>
      </c>
      <c r="FH14" s="45">
        <v>75</v>
      </c>
      <c r="FI14" s="45">
        <v>1.5</v>
      </c>
      <c r="FJ14" s="45">
        <v>45</v>
      </c>
      <c r="FK14" s="45">
        <v>70</v>
      </c>
      <c r="FL14" s="45">
        <v>3300</v>
      </c>
      <c r="FM14" s="45">
        <v>90</v>
      </c>
      <c r="FN14" s="45"/>
      <c r="FO14" s="45"/>
    </row>
    <row r="15" spans="1:171" x14ac:dyDescent="0.25">
      <c r="A15" s="29">
        <v>14</v>
      </c>
      <c r="B15" s="31" t="s">
        <v>230</v>
      </c>
      <c r="C15" s="14">
        <v>100</v>
      </c>
      <c r="D15" s="14">
        <v>100</v>
      </c>
      <c r="E15" s="14">
        <v>100</v>
      </c>
      <c r="F15" s="14"/>
      <c r="G15" s="14"/>
      <c r="H15" s="14"/>
      <c r="I15" s="14">
        <v>133</v>
      </c>
      <c r="J15" s="14"/>
      <c r="K15" s="14"/>
      <c r="L15" s="14"/>
      <c r="M15" s="14"/>
      <c r="N15" s="14"/>
      <c r="O15" s="14"/>
      <c r="P15" s="14">
        <v>100</v>
      </c>
      <c r="Q15" s="14">
        <v>100</v>
      </c>
      <c r="R15" s="14">
        <v>100</v>
      </c>
      <c r="S15" s="14"/>
      <c r="T15" s="20"/>
      <c r="U15" s="14"/>
      <c r="V15" s="14">
        <v>318</v>
      </c>
      <c r="W15" s="14"/>
      <c r="X15" s="14"/>
      <c r="Y15" s="14"/>
      <c r="Z15" s="14"/>
      <c r="AA15" s="14"/>
      <c r="AB15" s="14"/>
      <c r="AC15" s="14">
        <v>100</v>
      </c>
      <c r="AD15" s="14">
        <v>100</v>
      </c>
      <c r="AE15" s="14">
        <v>100</v>
      </c>
      <c r="AF15" s="14"/>
      <c r="AG15" s="14"/>
      <c r="AH15" s="14"/>
      <c r="AI15" s="14">
        <v>385</v>
      </c>
      <c r="AJ15" s="14"/>
      <c r="AK15" s="14"/>
      <c r="AL15" s="14"/>
      <c r="AM15" s="14"/>
      <c r="AN15" s="14"/>
      <c r="AO15" s="14"/>
      <c r="AP15" s="14">
        <v>100</v>
      </c>
      <c r="AQ15" s="14">
        <v>100</v>
      </c>
      <c r="AR15" s="14">
        <v>100</v>
      </c>
      <c r="AS15" s="14"/>
      <c r="AT15" s="14"/>
      <c r="AU15" s="14"/>
      <c r="AV15" s="14">
        <v>220</v>
      </c>
      <c r="AW15" s="14"/>
      <c r="AX15" s="14"/>
      <c r="AY15" s="14"/>
      <c r="AZ15" s="14"/>
      <c r="BA15" s="14"/>
      <c r="BB15" s="14"/>
      <c r="BC15" s="14">
        <v>100</v>
      </c>
      <c r="BD15" s="14">
        <v>99.99</v>
      </c>
      <c r="BE15" s="14">
        <v>99.99</v>
      </c>
      <c r="BF15" s="14"/>
      <c r="BG15" s="14"/>
      <c r="BH15" s="14"/>
      <c r="BI15" s="14">
        <v>199</v>
      </c>
      <c r="BJ15" s="14"/>
      <c r="BK15" s="14"/>
      <c r="BL15" s="14"/>
      <c r="BM15" s="14"/>
      <c r="BN15" s="14"/>
      <c r="BO15" s="14"/>
      <c r="BP15" s="14">
        <v>100</v>
      </c>
      <c r="BQ15" s="14">
        <v>100</v>
      </c>
      <c r="BR15" s="14">
        <v>100</v>
      </c>
      <c r="BS15" s="14"/>
      <c r="BT15" s="14"/>
      <c r="BU15" s="14"/>
      <c r="BV15" s="14">
        <v>169</v>
      </c>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EC15" s="14"/>
      <c r="ED15" s="14"/>
      <c r="EE15" s="14"/>
      <c r="EF15" s="14"/>
      <c r="EG15" s="14"/>
      <c r="EH15" s="14"/>
      <c r="EI15" s="14"/>
      <c r="EJ15" s="14"/>
      <c r="EK15" s="14"/>
      <c r="EL15" s="14"/>
      <c r="EM15" s="14"/>
      <c r="EN15" s="14"/>
      <c r="EO15" s="14"/>
      <c r="FC15" s="45">
        <v>99.99</v>
      </c>
      <c r="FD15" s="45">
        <v>99.99</v>
      </c>
      <c r="FE15" s="45">
        <v>99.99</v>
      </c>
      <c r="FF15" s="45">
        <v>55</v>
      </c>
      <c r="FG15" s="45">
        <v>75</v>
      </c>
      <c r="FH15" s="45">
        <v>50</v>
      </c>
      <c r="FI15" s="45"/>
      <c r="FJ15" s="45"/>
      <c r="FK15" s="45"/>
      <c r="FL15" s="45"/>
      <c r="FM15" s="45"/>
      <c r="FN15" s="45"/>
      <c r="FO15" s="45"/>
    </row>
    <row r="16" spans="1:171" x14ac:dyDescent="0.25">
      <c r="A16" s="29">
        <v>15</v>
      </c>
      <c r="B16" s="31" t="s">
        <v>7</v>
      </c>
      <c r="C16" s="14">
        <v>122.6</v>
      </c>
      <c r="D16" s="14">
        <v>14.4</v>
      </c>
      <c r="E16" s="14">
        <v>264</v>
      </c>
      <c r="F16" s="14">
        <v>8.5</v>
      </c>
      <c r="G16" s="14">
        <v>256</v>
      </c>
      <c r="H16" s="14">
        <v>85.8</v>
      </c>
      <c r="I16" s="14"/>
      <c r="J16" s="14"/>
      <c r="K16" s="14"/>
      <c r="L16" s="14"/>
      <c r="M16" s="14"/>
      <c r="N16" s="14"/>
      <c r="O16" s="14"/>
      <c r="P16" s="14">
        <v>126.6</v>
      </c>
      <c r="Q16" s="14">
        <v>16</v>
      </c>
      <c r="R16" s="14">
        <v>245</v>
      </c>
      <c r="S16" s="14">
        <v>7.9</v>
      </c>
      <c r="T16" s="20">
        <v>248</v>
      </c>
      <c r="U16" s="14">
        <v>80.8</v>
      </c>
      <c r="V16" s="14"/>
      <c r="W16" s="14"/>
      <c r="X16" s="14"/>
      <c r="Y16" s="14"/>
      <c r="Z16" s="14"/>
      <c r="AA16" s="14"/>
      <c r="AB16" s="14"/>
      <c r="AC16" s="14">
        <v>118.1</v>
      </c>
      <c r="AD16" s="14">
        <v>17.399999999999999</v>
      </c>
      <c r="AE16" s="14">
        <v>203</v>
      </c>
      <c r="AF16" s="14">
        <v>6.8</v>
      </c>
      <c r="AG16" s="14">
        <v>208</v>
      </c>
      <c r="AH16" s="14">
        <v>82.8</v>
      </c>
      <c r="AI16" s="14"/>
      <c r="AJ16" s="14"/>
      <c r="AK16" s="14"/>
      <c r="AL16" s="14"/>
      <c r="AM16" s="14"/>
      <c r="AN16" s="14"/>
      <c r="AO16" s="14"/>
      <c r="AP16" s="14">
        <v>120.6</v>
      </c>
      <c r="AQ16" s="14">
        <v>14.8</v>
      </c>
      <c r="AR16" s="14">
        <v>252</v>
      </c>
      <c r="AS16" s="14">
        <v>8.1</v>
      </c>
      <c r="AT16" s="14">
        <v>251</v>
      </c>
      <c r="AU16" s="14">
        <v>81.599999999999994</v>
      </c>
      <c r="AV16" s="14"/>
      <c r="AW16" s="14"/>
      <c r="AX16" s="14"/>
      <c r="AY16" s="14"/>
      <c r="AZ16" s="14"/>
      <c r="BA16" s="14"/>
      <c r="BB16" s="14"/>
      <c r="BC16" s="14">
        <v>123.5</v>
      </c>
      <c r="BD16" s="14">
        <v>16.899999999999999</v>
      </c>
      <c r="BE16" s="14">
        <v>218</v>
      </c>
      <c r="BF16" s="14">
        <v>7.3</v>
      </c>
      <c r="BG16" s="14">
        <v>211</v>
      </c>
      <c r="BH16" s="14">
        <v>78.2</v>
      </c>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C16" s="14"/>
      <c r="ED16" s="14"/>
      <c r="EE16" s="14"/>
      <c r="EF16" s="14"/>
      <c r="EG16" s="14"/>
      <c r="EH16" s="14"/>
      <c r="EI16" s="14"/>
      <c r="EJ16" s="14"/>
      <c r="EK16" s="14"/>
      <c r="EL16" s="14"/>
      <c r="EM16" s="14"/>
      <c r="EN16" s="14"/>
      <c r="EO16" s="14"/>
      <c r="FC16" s="45">
        <v>110</v>
      </c>
      <c r="FD16" s="45">
        <v>12</v>
      </c>
      <c r="FE16" s="45">
        <v>2800</v>
      </c>
      <c r="FF16" s="45">
        <v>7.5</v>
      </c>
      <c r="FG16" s="45">
        <v>2800</v>
      </c>
      <c r="FH16" s="45">
        <v>78</v>
      </c>
      <c r="FI16" s="45"/>
      <c r="FJ16" s="45"/>
      <c r="FK16" s="45"/>
      <c r="FL16" s="45"/>
      <c r="FM16" s="45"/>
      <c r="FN16" s="45"/>
      <c r="FO16" s="45"/>
    </row>
    <row r="17" spans="1:171" x14ac:dyDescent="0.25">
      <c r="A17" s="29">
        <v>16</v>
      </c>
      <c r="B17" s="31" t="s">
        <v>8</v>
      </c>
      <c r="C17" s="14">
        <v>15924</v>
      </c>
      <c r="D17" s="14">
        <v>8833</v>
      </c>
      <c r="E17" s="14">
        <v>1342</v>
      </c>
      <c r="F17" s="14">
        <v>1039</v>
      </c>
      <c r="G17" s="20">
        <v>12366</v>
      </c>
      <c r="H17" s="14">
        <v>2718</v>
      </c>
      <c r="I17" s="14">
        <v>2.4</v>
      </c>
      <c r="J17" s="14">
        <v>2.94</v>
      </c>
      <c r="K17" s="14">
        <v>7.02</v>
      </c>
      <c r="L17" s="14">
        <v>308</v>
      </c>
      <c r="M17" s="14">
        <v>292</v>
      </c>
      <c r="N17" s="14">
        <v>77</v>
      </c>
      <c r="O17" s="14"/>
      <c r="P17" s="14">
        <v>16119</v>
      </c>
      <c r="Q17" s="14">
        <v>8039</v>
      </c>
      <c r="R17" s="14">
        <v>675</v>
      </c>
      <c r="S17" s="14">
        <v>1138</v>
      </c>
      <c r="T17" s="20">
        <v>9690</v>
      </c>
      <c r="U17" s="14">
        <v>2861</v>
      </c>
      <c r="V17" s="14">
        <v>2.15</v>
      </c>
      <c r="W17" s="14">
        <v>2.69</v>
      </c>
      <c r="X17" s="14">
        <v>7.66</v>
      </c>
      <c r="Y17" s="14">
        <v>329</v>
      </c>
      <c r="Z17" s="14">
        <v>309</v>
      </c>
      <c r="AA17" s="14">
        <v>83</v>
      </c>
      <c r="AB17" s="14">
        <v>0</v>
      </c>
      <c r="AC17" s="14">
        <v>14492</v>
      </c>
      <c r="AD17" s="14">
        <v>7342</v>
      </c>
      <c r="AE17" s="14">
        <v>1036</v>
      </c>
      <c r="AF17" s="14">
        <v>866</v>
      </c>
      <c r="AG17" s="14">
        <v>9638</v>
      </c>
      <c r="AH17" s="14">
        <v>2620</v>
      </c>
      <c r="AI17" s="14">
        <v>2.06</v>
      </c>
      <c r="AJ17" s="14">
        <v>2.59</v>
      </c>
      <c r="AK17" s="14">
        <v>7.96</v>
      </c>
      <c r="AL17" s="14">
        <v>364</v>
      </c>
      <c r="AM17" s="14">
        <v>217</v>
      </c>
      <c r="AN17" s="14">
        <v>91</v>
      </c>
      <c r="AO17" s="14">
        <v>0</v>
      </c>
      <c r="AP17" s="14">
        <v>14816</v>
      </c>
      <c r="AQ17" s="14">
        <v>7535</v>
      </c>
      <c r="AR17" s="14">
        <v>2321</v>
      </c>
      <c r="AS17" s="14">
        <v>1061</v>
      </c>
      <c r="AT17" s="14">
        <v>12059</v>
      </c>
      <c r="AU17" s="14">
        <v>2772</v>
      </c>
      <c r="AV17" s="14">
        <v>2.13</v>
      </c>
      <c r="AW17" s="14">
        <v>2.66</v>
      </c>
      <c r="AX17" s="14">
        <v>7.74</v>
      </c>
      <c r="AY17" s="14">
        <v>310</v>
      </c>
      <c r="AZ17" s="14">
        <v>2853</v>
      </c>
      <c r="BA17" s="14">
        <v>78</v>
      </c>
      <c r="BB17" s="14">
        <v>0</v>
      </c>
      <c r="BC17" s="14">
        <v>13263</v>
      </c>
      <c r="BD17" s="14">
        <v>6006</v>
      </c>
      <c r="BE17" s="14">
        <v>969</v>
      </c>
      <c r="BF17" s="14">
        <v>900</v>
      </c>
      <c r="BG17" s="14">
        <v>10015</v>
      </c>
      <c r="BH17" s="14">
        <v>2239</v>
      </c>
      <c r="BI17" s="14">
        <v>2.09</v>
      </c>
      <c r="BJ17" s="14">
        <v>2.6</v>
      </c>
      <c r="BK17" s="14">
        <v>7.91</v>
      </c>
      <c r="BL17" s="14">
        <v>354</v>
      </c>
      <c r="BM17" s="14">
        <v>533</v>
      </c>
      <c r="BN17" s="14">
        <v>133</v>
      </c>
      <c r="BO17" s="14">
        <v>0</v>
      </c>
      <c r="BP17" s="19">
        <v>12016</v>
      </c>
      <c r="BQ17" s="14">
        <v>5882</v>
      </c>
      <c r="BR17" s="14">
        <v>726</v>
      </c>
      <c r="BS17" s="14">
        <v>851</v>
      </c>
      <c r="BT17" s="14">
        <v>8300</v>
      </c>
      <c r="BU17" s="14">
        <v>1991</v>
      </c>
      <c r="BV17" s="14">
        <v>2.0099999999999998</v>
      </c>
      <c r="BW17" s="14">
        <v>2.5099999999999998</v>
      </c>
      <c r="BX17" s="14">
        <v>8.2200000000000006</v>
      </c>
      <c r="BY17" s="14">
        <v>168</v>
      </c>
      <c r="BZ17" s="14">
        <v>116</v>
      </c>
      <c r="CA17" s="14">
        <v>42</v>
      </c>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45">
        <v>175000</v>
      </c>
      <c r="FD17" s="45">
        <v>96000</v>
      </c>
      <c r="FE17" s="63">
        <v>10500</v>
      </c>
      <c r="FF17" s="63">
        <v>18000</v>
      </c>
      <c r="FG17" s="63">
        <v>130000</v>
      </c>
      <c r="FH17" s="63">
        <v>35000</v>
      </c>
      <c r="FI17" s="62">
        <v>2.25</v>
      </c>
      <c r="FJ17" s="62">
        <v>3</v>
      </c>
      <c r="FK17" s="62">
        <v>7.5</v>
      </c>
      <c r="FL17" s="63">
        <v>1250</v>
      </c>
      <c r="FM17" s="63">
        <v>1500</v>
      </c>
      <c r="FN17" s="45">
        <v>20</v>
      </c>
      <c r="FO17" s="45">
        <v>5</v>
      </c>
    </row>
    <row r="18" spans="1:171" x14ac:dyDescent="0.25">
      <c r="A18" s="29">
        <v>17</v>
      </c>
      <c r="B18" s="31" t="s">
        <v>231</v>
      </c>
      <c r="C18" s="14">
        <v>44</v>
      </c>
      <c r="D18" s="14">
        <v>0</v>
      </c>
      <c r="E18" s="14">
        <v>58</v>
      </c>
      <c r="F18" s="14">
        <v>4</v>
      </c>
      <c r="G18" s="14">
        <v>332</v>
      </c>
      <c r="H18" s="14">
        <v>51</v>
      </c>
      <c r="I18" s="14">
        <v>253</v>
      </c>
      <c r="J18" s="14">
        <v>65</v>
      </c>
      <c r="K18" s="14">
        <v>47</v>
      </c>
      <c r="L18" s="14">
        <v>93</v>
      </c>
      <c r="M18" s="14">
        <v>13</v>
      </c>
      <c r="N18" s="14"/>
      <c r="O18" s="14"/>
      <c r="P18" s="14">
        <v>41</v>
      </c>
      <c r="Q18" s="14">
        <v>1</v>
      </c>
      <c r="R18" s="14">
        <v>56</v>
      </c>
      <c r="S18" s="14">
        <v>4</v>
      </c>
      <c r="T18" s="20">
        <v>477</v>
      </c>
      <c r="U18" s="14">
        <v>29</v>
      </c>
      <c r="V18" s="14">
        <v>398</v>
      </c>
      <c r="W18" s="14">
        <v>39</v>
      </c>
      <c r="X18" s="14">
        <v>78</v>
      </c>
      <c r="Y18" s="14">
        <v>100</v>
      </c>
      <c r="Z18" s="14">
        <v>45</v>
      </c>
      <c r="AA18" s="14"/>
      <c r="AB18" s="14"/>
      <c r="AC18" s="14">
        <v>47</v>
      </c>
      <c r="AD18" s="14">
        <v>0</v>
      </c>
      <c r="AE18" s="14">
        <v>57</v>
      </c>
      <c r="AF18" s="14">
        <v>5</v>
      </c>
      <c r="AG18" s="14">
        <v>432</v>
      </c>
      <c r="AH18" s="14">
        <v>58</v>
      </c>
      <c r="AI18" s="14">
        <v>377</v>
      </c>
      <c r="AJ18" s="14">
        <v>71</v>
      </c>
      <c r="AK18" s="14">
        <v>70</v>
      </c>
      <c r="AL18" s="14">
        <v>96</v>
      </c>
      <c r="AM18" s="14">
        <v>26</v>
      </c>
      <c r="AN18" s="14"/>
      <c r="AO18" s="14"/>
      <c r="AP18" s="14">
        <v>58</v>
      </c>
      <c r="AQ18" s="14">
        <v>1</v>
      </c>
      <c r="AR18" s="14">
        <v>74</v>
      </c>
      <c r="AS18" s="14">
        <v>8</v>
      </c>
      <c r="AT18" s="14">
        <v>456</v>
      </c>
      <c r="AU18" s="14">
        <v>61</v>
      </c>
      <c r="AV18" s="14">
        <v>411</v>
      </c>
      <c r="AW18" s="14">
        <v>59</v>
      </c>
      <c r="AX18" s="14">
        <v>59</v>
      </c>
      <c r="AY18" s="14">
        <v>100</v>
      </c>
      <c r="AZ18" s="14">
        <v>28</v>
      </c>
      <c r="BA18" s="14"/>
      <c r="BB18" s="14"/>
      <c r="BC18" s="14">
        <v>61</v>
      </c>
      <c r="BD18" s="14">
        <v>1</v>
      </c>
      <c r="BE18" s="14">
        <v>79</v>
      </c>
      <c r="BF18" s="14">
        <v>6</v>
      </c>
      <c r="BG18" s="14">
        <v>502</v>
      </c>
      <c r="BH18" s="14">
        <v>48</v>
      </c>
      <c r="BI18" s="14">
        <v>449</v>
      </c>
      <c r="BJ18" s="14">
        <v>26</v>
      </c>
      <c r="BK18" s="14">
        <v>54</v>
      </c>
      <c r="BL18" s="14">
        <v>100</v>
      </c>
      <c r="BM18" s="14">
        <v>27</v>
      </c>
      <c r="BN18" s="14"/>
      <c r="BO18" s="14"/>
      <c r="BP18" s="14">
        <v>52</v>
      </c>
      <c r="BQ18" s="14">
        <v>2</v>
      </c>
      <c r="BR18" s="14">
        <v>68</v>
      </c>
      <c r="BS18" s="14">
        <v>7</v>
      </c>
      <c r="BT18" s="14">
        <v>405</v>
      </c>
      <c r="BU18" s="14">
        <v>43</v>
      </c>
      <c r="BV18" s="14">
        <v>356</v>
      </c>
      <c r="BW18" s="14">
        <v>28</v>
      </c>
      <c r="BX18" s="14">
        <v>53</v>
      </c>
      <c r="BY18" s="14">
        <v>94</v>
      </c>
      <c r="BZ18" s="14">
        <v>35</v>
      </c>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C18" s="45">
        <v>420</v>
      </c>
      <c r="FD18" s="45">
        <v>8</v>
      </c>
      <c r="FE18" s="45">
        <v>575</v>
      </c>
      <c r="FF18" s="45">
        <v>40</v>
      </c>
      <c r="FG18" s="45">
        <v>4500</v>
      </c>
      <c r="FH18" s="45">
        <v>525</v>
      </c>
      <c r="FI18" s="45">
        <v>3700</v>
      </c>
      <c r="FJ18" s="45">
        <v>75</v>
      </c>
      <c r="FK18" s="45">
        <v>700</v>
      </c>
      <c r="FL18" s="45">
        <v>90</v>
      </c>
      <c r="FM18" s="45">
        <v>270</v>
      </c>
      <c r="FN18" s="45"/>
      <c r="FO18" s="45"/>
    </row>
    <row r="19" spans="1:171" x14ac:dyDescent="0.25">
      <c r="A19" s="29">
        <v>18</v>
      </c>
      <c r="B19" s="31" t="s">
        <v>9</v>
      </c>
      <c r="C19" s="14">
        <v>140</v>
      </c>
      <c r="D19" s="14">
        <v>177</v>
      </c>
      <c r="E19" s="14">
        <v>493</v>
      </c>
      <c r="F19" s="14">
        <v>237</v>
      </c>
      <c r="G19" s="14">
        <v>7</v>
      </c>
      <c r="H19" s="14">
        <v>21597</v>
      </c>
      <c r="I19" s="14">
        <v>28452</v>
      </c>
      <c r="J19" s="14">
        <v>19.5</v>
      </c>
      <c r="K19" s="14"/>
      <c r="L19" s="14"/>
      <c r="M19" s="14"/>
      <c r="N19" s="14"/>
      <c r="O19" s="14"/>
      <c r="P19" s="14">
        <v>165</v>
      </c>
      <c r="Q19" s="14">
        <v>217</v>
      </c>
      <c r="R19" s="14">
        <v>548</v>
      </c>
      <c r="S19" s="14">
        <v>247</v>
      </c>
      <c r="T19" s="20">
        <v>7.2</v>
      </c>
      <c r="U19" s="14">
        <v>25014</v>
      </c>
      <c r="V19" s="14">
        <v>46210</v>
      </c>
      <c r="W19" s="14">
        <v>23</v>
      </c>
      <c r="X19" s="14"/>
      <c r="Y19" s="14"/>
      <c r="Z19" s="14"/>
      <c r="AA19" s="14"/>
      <c r="AB19" s="14"/>
      <c r="AC19" s="14">
        <v>146</v>
      </c>
      <c r="AD19" s="14">
        <v>167</v>
      </c>
      <c r="AE19" s="14">
        <v>439</v>
      </c>
      <c r="AF19" s="14">
        <v>160</v>
      </c>
      <c r="AG19" s="14">
        <v>7.3</v>
      </c>
      <c r="AH19" s="14">
        <v>21759</v>
      </c>
      <c r="AI19" s="14">
        <v>43129</v>
      </c>
      <c r="AJ19" s="14">
        <v>21</v>
      </c>
      <c r="AK19" s="14"/>
      <c r="AL19" s="14"/>
      <c r="AM19" s="14"/>
      <c r="AN19" s="14"/>
      <c r="AO19" s="14"/>
      <c r="AP19" s="14">
        <v>184</v>
      </c>
      <c r="AQ19" s="14">
        <v>217</v>
      </c>
      <c r="AR19" s="14">
        <v>563</v>
      </c>
      <c r="AS19" s="14">
        <v>189</v>
      </c>
      <c r="AT19" s="14">
        <v>8.4</v>
      </c>
      <c r="AU19" s="14">
        <v>25130</v>
      </c>
      <c r="AV19" s="14">
        <v>39843</v>
      </c>
      <c r="AW19" s="14">
        <v>25</v>
      </c>
      <c r="AX19" s="14"/>
      <c r="AY19" s="14"/>
      <c r="AZ19" s="14"/>
      <c r="BA19" s="14"/>
      <c r="BB19" s="14"/>
      <c r="BC19" s="14">
        <v>167</v>
      </c>
      <c r="BD19" s="14">
        <v>171</v>
      </c>
      <c r="BE19" s="14">
        <v>484</v>
      </c>
      <c r="BF19" s="14">
        <v>175</v>
      </c>
      <c r="BG19" s="14">
        <v>8.8000000000000007</v>
      </c>
      <c r="BH19" s="14">
        <v>21913</v>
      </c>
      <c r="BI19" s="14">
        <v>36329</v>
      </c>
      <c r="BJ19" s="14">
        <v>27</v>
      </c>
      <c r="BK19" s="14"/>
      <c r="BL19" s="14"/>
      <c r="BM19" s="14"/>
      <c r="BN19" s="14"/>
      <c r="BO19" s="14"/>
      <c r="BP19" s="14">
        <v>160</v>
      </c>
      <c r="BQ19" s="14">
        <v>181</v>
      </c>
      <c r="BR19" s="14">
        <v>378</v>
      </c>
      <c r="BS19" s="14">
        <v>145</v>
      </c>
      <c r="BT19" s="14">
        <v>8.4</v>
      </c>
      <c r="BU19" s="14">
        <v>20191</v>
      </c>
      <c r="BV19" s="14">
        <v>34630</v>
      </c>
      <c r="BW19" s="14">
        <v>33</v>
      </c>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EC19" s="14"/>
      <c r="ED19" s="14"/>
      <c r="EE19" s="14"/>
      <c r="EF19" s="14"/>
      <c r="EG19" s="14"/>
      <c r="EH19" s="14"/>
      <c r="EI19" s="14"/>
      <c r="EJ19" s="14"/>
      <c r="EK19" s="14"/>
      <c r="EL19" s="14"/>
      <c r="EM19" s="14"/>
      <c r="EN19" s="14"/>
      <c r="EO19" s="14"/>
      <c r="FC19" s="45">
        <v>1850</v>
      </c>
      <c r="FD19" s="45">
        <v>2050</v>
      </c>
      <c r="FE19" s="45">
        <v>5700</v>
      </c>
      <c r="FF19" s="45">
        <v>1600</v>
      </c>
      <c r="FG19" s="45">
        <v>7.7</v>
      </c>
      <c r="FH19" s="45">
        <v>248000</v>
      </c>
      <c r="FI19" s="45">
        <v>350000</v>
      </c>
      <c r="FJ19" s="45">
        <v>750</v>
      </c>
      <c r="FK19" s="45"/>
      <c r="FL19" s="45"/>
      <c r="FM19" s="45"/>
      <c r="FN19" s="45"/>
      <c r="FO19" s="45"/>
    </row>
    <row r="20" spans="1:171" ht="12" customHeight="1" x14ac:dyDescent="0.25">
      <c r="A20" s="29">
        <v>19</v>
      </c>
      <c r="B20" s="31" t="s">
        <v>61</v>
      </c>
      <c r="C20" s="14">
        <v>0</v>
      </c>
      <c r="D20" s="14">
        <v>8</v>
      </c>
      <c r="E20" s="14">
        <v>10</v>
      </c>
      <c r="F20" s="14">
        <v>77</v>
      </c>
      <c r="G20" s="14"/>
      <c r="H20" s="14"/>
      <c r="I20" s="14"/>
      <c r="J20" s="14"/>
      <c r="K20" s="14"/>
      <c r="L20" s="14"/>
      <c r="M20" s="14"/>
      <c r="N20" s="14"/>
      <c r="O20" s="14"/>
      <c r="P20" s="14">
        <v>3</v>
      </c>
      <c r="Q20" s="14">
        <v>0</v>
      </c>
      <c r="R20" s="14">
        <v>30</v>
      </c>
      <c r="S20" s="14">
        <v>56</v>
      </c>
      <c r="T20" s="20"/>
      <c r="U20" s="14"/>
      <c r="V20" s="14"/>
      <c r="W20" s="14"/>
      <c r="X20" s="14"/>
      <c r="Y20" s="14"/>
      <c r="Z20" s="14"/>
      <c r="AA20" s="14"/>
      <c r="AB20" s="14"/>
      <c r="AC20" s="14">
        <v>20</v>
      </c>
      <c r="AD20" s="14">
        <v>0</v>
      </c>
      <c r="AE20" s="14">
        <v>26</v>
      </c>
      <c r="AF20" s="14">
        <v>0</v>
      </c>
      <c r="AG20" s="14"/>
      <c r="AH20" s="14"/>
      <c r="AI20" s="14"/>
      <c r="AJ20" s="14"/>
      <c r="AK20" s="14"/>
      <c r="AL20" s="14"/>
      <c r="AM20" s="14"/>
      <c r="AN20" s="14"/>
      <c r="AO20" s="14"/>
      <c r="AP20" s="14">
        <v>2</v>
      </c>
      <c r="AQ20" s="14">
        <v>6</v>
      </c>
      <c r="AR20" s="14">
        <v>8</v>
      </c>
      <c r="AS20" s="14">
        <v>86</v>
      </c>
      <c r="AT20" s="14">
        <v>8</v>
      </c>
      <c r="AU20" s="14">
        <v>2</v>
      </c>
      <c r="AV20" s="14"/>
      <c r="AW20" s="14"/>
      <c r="AX20" s="14"/>
      <c r="AY20" s="14"/>
      <c r="AZ20" s="14"/>
      <c r="BA20" s="14"/>
      <c r="BB20" s="14"/>
      <c r="BC20" s="14">
        <v>6</v>
      </c>
      <c r="BD20" s="14">
        <v>2</v>
      </c>
      <c r="BE20" s="14">
        <v>10</v>
      </c>
      <c r="BF20" s="14">
        <v>63</v>
      </c>
      <c r="BG20" s="14"/>
      <c r="BH20" s="14"/>
      <c r="BI20" s="14"/>
      <c r="BJ20" s="14"/>
      <c r="BK20" s="14"/>
      <c r="BL20" s="14"/>
      <c r="BM20" s="14"/>
      <c r="BN20" s="14"/>
      <c r="BO20" s="14"/>
      <c r="BP20" s="14">
        <v>1</v>
      </c>
      <c r="BQ20" s="14">
        <v>0</v>
      </c>
      <c r="BR20" s="14">
        <v>2</v>
      </c>
      <c r="BS20" s="14">
        <v>54</v>
      </c>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S20" s="14"/>
      <c r="DT20" s="14"/>
      <c r="DU20" s="14"/>
      <c r="DV20" s="14"/>
      <c r="EC20" s="14"/>
      <c r="ED20" s="14"/>
      <c r="EE20" s="14"/>
      <c r="EF20" s="14"/>
      <c r="EG20" s="14"/>
      <c r="EH20" s="14"/>
      <c r="EI20" s="14"/>
      <c r="EJ20" s="14"/>
      <c r="EK20" s="14"/>
      <c r="EL20" s="14"/>
      <c r="EM20" s="14"/>
      <c r="EN20" s="14"/>
      <c r="EO20" s="14"/>
      <c r="FC20" s="45">
        <v>75</v>
      </c>
      <c r="FD20" s="45">
        <v>250</v>
      </c>
      <c r="FE20" s="45">
        <v>75</v>
      </c>
      <c r="FF20" s="45">
        <v>500</v>
      </c>
      <c r="FG20" s="45"/>
      <c r="FH20" s="45"/>
      <c r="FI20" s="45"/>
      <c r="FJ20" s="45"/>
      <c r="FK20" s="45"/>
      <c r="FL20" s="45"/>
      <c r="FM20" s="45"/>
      <c r="FN20" s="45"/>
      <c r="FO20" s="45"/>
    </row>
    <row r="21" spans="1:171" x14ac:dyDescent="0.25">
      <c r="A21" s="29">
        <v>20</v>
      </c>
      <c r="B21" s="31" t="s">
        <v>233</v>
      </c>
      <c r="C21" s="14">
        <v>23337</v>
      </c>
      <c r="D21" s="14">
        <v>3151</v>
      </c>
      <c r="E21" s="14">
        <v>1336</v>
      </c>
      <c r="F21" s="14">
        <v>2.36</v>
      </c>
      <c r="G21" s="14">
        <v>0.14000000000000001</v>
      </c>
      <c r="H21" s="14">
        <v>40.119999999999997</v>
      </c>
      <c r="I21" s="14">
        <v>5.47</v>
      </c>
      <c r="J21" s="14"/>
      <c r="K21" s="14"/>
      <c r="L21" s="14"/>
      <c r="M21" s="14"/>
      <c r="N21" s="14"/>
      <c r="O21" s="14"/>
      <c r="P21" s="14">
        <v>28599</v>
      </c>
      <c r="Q21" s="14">
        <v>4448</v>
      </c>
      <c r="R21" s="14">
        <v>1655</v>
      </c>
      <c r="S21" s="14">
        <v>2.69</v>
      </c>
      <c r="T21" s="20">
        <v>0.16</v>
      </c>
      <c r="U21" s="14">
        <v>13.54</v>
      </c>
      <c r="V21" s="14">
        <v>2.11</v>
      </c>
      <c r="W21" s="14"/>
      <c r="X21" s="14"/>
      <c r="Y21" s="14"/>
      <c r="Z21" s="14"/>
      <c r="AA21" s="14"/>
      <c r="AB21" s="14"/>
      <c r="AC21" s="14">
        <v>24338</v>
      </c>
      <c r="AD21" s="14">
        <v>3862</v>
      </c>
      <c r="AE21" s="14">
        <v>1462</v>
      </c>
      <c r="AF21" s="14">
        <v>2.64</v>
      </c>
      <c r="AG21" s="14">
        <v>0.16</v>
      </c>
      <c r="AH21" s="14">
        <v>15.75</v>
      </c>
      <c r="AI21" s="14">
        <v>2.4900000000000002</v>
      </c>
      <c r="AJ21" s="14"/>
      <c r="AK21" s="14"/>
      <c r="AL21" s="14"/>
      <c r="AM21" s="14"/>
      <c r="AN21" s="14"/>
      <c r="AO21" s="14"/>
      <c r="AP21" s="14">
        <v>26404</v>
      </c>
      <c r="AQ21" s="14">
        <v>3998</v>
      </c>
      <c r="AR21" s="14">
        <v>1592</v>
      </c>
      <c r="AS21" s="14">
        <v>2.5099999999999998</v>
      </c>
      <c r="AT21" s="14">
        <v>0.15</v>
      </c>
      <c r="AU21" s="14">
        <v>15.85</v>
      </c>
      <c r="AV21" s="14">
        <v>2.4</v>
      </c>
      <c r="AW21" s="14"/>
      <c r="AX21" s="14"/>
      <c r="AY21" s="14"/>
      <c r="AZ21" s="14"/>
      <c r="BA21" s="14"/>
      <c r="BB21" s="14"/>
      <c r="BC21" s="14">
        <v>22962</v>
      </c>
      <c r="BD21" s="14">
        <v>3561</v>
      </c>
      <c r="BE21" s="14">
        <v>1400</v>
      </c>
      <c r="BF21" s="14">
        <v>2.54</v>
      </c>
      <c r="BG21" s="14">
        <v>0.16</v>
      </c>
      <c r="BH21" s="14">
        <v>19.670000000000002</v>
      </c>
      <c r="BI21" s="14">
        <v>3.05</v>
      </c>
      <c r="BJ21" s="14"/>
      <c r="BK21" s="14"/>
      <c r="BL21" s="14"/>
      <c r="BM21" s="14"/>
      <c r="BN21" s="14"/>
      <c r="BO21" s="14"/>
      <c r="BP21" s="14">
        <v>21692</v>
      </c>
      <c r="BQ21" s="14">
        <v>3568</v>
      </c>
      <c r="BR21" s="14">
        <v>1302</v>
      </c>
      <c r="BS21" s="14">
        <v>2.74</v>
      </c>
      <c r="BT21" s="14">
        <v>0.16</v>
      </c>
      <c r="BU21" s="14">
        <v>25.29</v>
      </c>
      <c r="BV21" s="14">
        <v>4.16</v>
      </c>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22"/>
      <c r="DJ21" s="14"/>
      <c r="DK21" s="14"/>
      <c r="DL21" s="14"/>
      <c r="DM21" s="14"/>
      <c r="DN21" s="14"/>
      <c r="DO21" s="14"/>
      <c r="DP21" s="14"/>
      <c r="DQ21" s="14"/>
      <c r="DR21" s="14"/>
      <c r="DS21" s="14"/>
      <c r="DT21" s="14"/>
      <c r="DU21" s="14"/>
      <c r="DV21" s="14"/>
      <c r="EC21" s="14"/>
      <c r="ED21" s="14"/>
      <c r="EE21" s="14"/>
      <c r="EF21" s="14"/>
      <c r="EG21" s="14"/>
      <c r="EH21" s="14"/>
      <c r="EI21" s="14"/>
      <c r="EJ21" s="14"/>
      <c r="EK21" s="14"/>
      <c r="EL21" s="14"/>
      <c r="EM21" s="14"/>
      <c r="EN21" s="14"/>
      <c r="EO21" s="14"/>
      <c r="FC21" s="45">
        <v>315500</v>
      </c>
      <c r="FD21" s="45">
        <v>48000</v>
      </c>
      <c r="FE21" s="45">
        <v>17500</v>
      </c>
      <c r="FF21" s="45">
        <v>2.6</v>
      </c>
      <c r="FG21" s="45">
        <v>0.15</v>
      </c>
      <c r="FH21" s="45">
        <v>20</v>
      </c>
      <c r="FI21" s="45">
        <v>3.1</v>
      </c>
      <c r="FJ21" s="45"/>
      <c r="FK21" s="45"/>
      <c r="FL21" s="45"/>
      <c r="FM21" s="45"/>
      <c r="FN21" s="45"/>
      <c r="FO21" s="45"/>
    </row>
    <row r="22" spans="1:171" x14ac:dyDescent="0.25">
      <c r="A22" s="29">
        <v>21</v>
      </c>
      <c r="B22" s="31" t="s">
        <v>10</v>
      </c>
      <c r="C22" s="14">
        <v>1277</v>
      </c>
      <c r="D22" s="14">
        <v>15</v>
      </c>
      <c r="E22" s="14">
        <v>69</v>
      </c>
      <c r="F22" s="14">
        <v>7</v>
      </c>
      <c r="G22" s="14">
        <v>70.400000000000006</v>
      </c>
      <c r="H22" s="14">
        <v>525</v>
      </c>
      <c r="I22" s="14">
        <v>139</v>
      </c>
      <c r="J22" s="14">
        <v>19</v>
      </c>
      <c r="K22" s="14">
        <v>20</v>
      </c>
      <c r="L22" s="14">
        <v>41.2</v>
      </c>
      <c r="M22" s="14"/>
      <c r="N22" s="14"/>
      <c r="O22" s="14"/>
      <c r="P22" s="14">
        <v>1358</v>
      </c>
      <c r="Q22" s="14">
        <v>7</v>
      </c>
      <c r="R22" s="14">
        <v>68</v>
      </c>
      <c r="S22" s="14">
        <v>3</v>
      </c>
      <c r="T22" s="20">
        <v>53.2</v>
      </c>
      <c r="U22" s="14">
        <v>646</v>
      </c>
      <c r="V22" s="14">
        <v>143</v>
      </c>
      <c r="W22" s="14">
        <v>37</v>
      </c>
      <c r="X22" s="14">
        <v>23</v>
      </c>
      <c r="Y22" s="14">
        <v>43.8</v>
      </c>
      <c r="Z22" s="14"/>
      <c r="AA22" s="14"/>
      <c r="AB22" s="14"/>
      <c r="AC22" s="14">
        <v>1389</v>
      </c>
      <c r="AD22" s="14">
        <v>15</v>
      </c>
      <c r="AE22" s="14">
        <v>77</v>
      </c>
      <c r="AF22" s="14">
        <v>6</v>
      </c>
      <c r="AG22" s="14">
        <v>46.9</v>
      </c>
      <c r="AH22" s="14">
        <v>576</v>
      </c>
      <c r="AI22" s="14">
        <v>87</v>
      </c>
      <c r="AJ22" s="14">
        <v>24</v>
      </c>
      <c r="AK22" s="14">
        <v>20</v>
      </c>
      <c r="AL22" s="14">
        <v>46.3</v>
      </c>
      <c r="AM22" s="14"/>
      <c r="AN22" s="14"/>
      <c r="AO22" s="14"/>
      <c r="AP22" s="14">
        <v>1720</v>
      </c>
      <c r="AQ22" s="14">
        <v>8</v>
      </c>
      <c r="AR22" s="14">
        <v>73</v>
      </c>
      <c r="AS22" s="14">
        <v>0</v>
      </c>
      <c r="AT22" s="14">
        <v>43.8</v>
      </c>
      <c r="AU22" s="14">
        <v>604</v>
      </c>
      <c r="AV22" s="14">
        <v>124</v>
      </c>
      <c r="AW22" s="14">
        <v>35</v>
      </c>
      <c r="AX22" s="14">
        <v>22</v>
      </c>
      <c r="AY22" s="14">
        <v>55.5</v>
      </c>
      <c r="AZ22" s="14"/>
      <c r="BA22" s="14"/>
      <c r="BB22" s="14"/>
      <c r="BC22" s="14">
        <v>1837</v>
      </c>
      <c r="BD22" s="14">
        <v>12</v>
      </c>
      <c r="BE22" s="14">
        <v>80</v>
      </c>
      <c r="BF22" s="14">
        <v>2</v>
      </c>
      <c r="BG22" s="14">
        <v>45</v>
      </c>
      <c r="BH22" s="14">
        <v>573</v>
      </c>
      <c r="BI22" s="14">
        <v>176</v>
      </c>
      <c r="BJ22" s="14">
        <v>55</v>
      </c>
      <c r="BK22" s="14">
        <v>19</v>
      </c>
      <c r="BL22" s="14">
        <v>61.2</v>
      </c>
      <c r="BM22" s="14"/>
      <c r="BN22" s="14"/>
      <c r="BO22" s="14"/>
      <c r="BP22" s="14">
        <v>1530</v>
      </c>
      <c r="BQ22" s="14"/>
      <c r="BR22" s="14"/>
      <c r="BS22" s="14"/>
      <c r="BT22" s="14"/>
      <c r="BU22" s="14"/>
      <c r="BV22" s="14"/>
      <c r="BW22" s="14"/>
      <c r="BX22" s="14"/>
      <c r="BY22" s="14">
        <v>49.4</v>
      </c>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EC22" s="14"/>
      <c r="ED22" s="14"/>
      <c r="EE22" s="14"/>
      <c r="EF22" s="14"/>
      <c r="EG22" s="14"/>
      <c r="EH22" s="14"/>
      <c r="EI22" s="14"/>
      <c r="EJ22" s="14"/>
      <c r="EK22" s="14"/>
      <c r="EL22" s="14"/>
      <c r="EM22" s="14"/>
      <c r="EN22" s="14"/>
      <c r="EO22" s="14"/>
      <c r="FC22" s="45">
        <v>15750</v>
      </c>
      <c r="FD22" s="45">
        <v>175</v>
      </c>
      <c r="FE22" s="45">
        <v>725</v>
      </c>
      <c r="FF22" s="45">
        <v>70</v>
      </c>
      <c r="FG22" s="45">
        <v>60</v>
      </c>
      <c r="FH22" s="45">
        <v>7380</v>
      </c>
      <c r="FI22" s="45">
        <v>2475</v>
      </c>
      <c r="FJ22" s="45">
        <v>875</v>
      </c>
      <c r="FK22" s="45">
        <v>20</v>
      </c>
      <c r="FL22" s="45">
        <v>43</v>
      </c>
      <c r="FM22" s="45"/>
      <c r="FN22" s="45"/>
      <c r="FO22" s="45"/>
    </row>
    <row r="23" spans="1:171" x14ac:dyDescent="0.25">
      <c r="A23" s="29">
        <v>22</v>
      </c>
      <c r="B23" s="31" t="s">
        <v>229</v>
      </c>
      <c r="C23" s="14">
        <v>271</v>
      </c>
      <c r="D23" s="14">
        <v>105</v>
      </c>
      <c r="E23" s="14">
        <v>71</v>
      </c>
      <c r="F23" s="14">
        <v>801</v>
      </c>
      <c r="G23" s="14">
        <v>84</v>
      </c>
      <c r="H23" s="14">
        <v>4.45</v>
      </c>
      <c r="I23" s="14">
        <v>1731</v>
      </c>
      <c r="J23" s="14">
        <v>87</v>
      </c>
      <c r="K23" s="14"/>
      <c r="L23" s="14"/>
      <c r="M23" s="14"/>
      <c r="N23" s="14"/>
      <c r="O23" s="14"/>
      <c r="P23" s="14">
        <v>284</v>
      </c>
      <c r="Q23" s="14">
        <v>102</v>
      </c>
      <c r="R23" s="14">
        <v>83</v>
      </c>
      <c r="S23" s="14">
        <v>977</v>
      </c>
      <c r="T23" s="20">
        <v>99</v>
      </c>
      <c r="U23" s="14">
        <v>4.45</v>
      </c>
      <c r="V23" s="14">
        <v>1998</v>
      </c>
      <c r="W23" s="14">
        <v>87</v>
      </c>
      <c r="X23" s="14"/>
      <c r="Y23" s="14"/>
      <c r="Z23" s="14"/>
      <c r="AA23" s="14"/>
      <c r="AB23" s="14"/>
      <c r="AC23" s="14">
        <v>270</v>
      </c>
      <c r="AD23" s="14">
        <v>104</v>
      </c>
      <c r="AE23" s="14">
        <v>83</v>
      </c>
      <c r="AF23" s="14">
        <v>935</v>
      </c>
      <c r="AG23" s="14">
        <v>94</v>
      </c>
      <c r="AH23" s="14">
        <v>4.45</v>
      </c>
      <c r="AI23" s="14">
        <v>1946</v>
      </c>
      <c r="AJ23" s="14">
        <v>97</v>
      </c>
      <c r="AK23" s="14"/>
      <c r="AL23" s="14"/>
      <c r="AM23" s="14"/>
      <c r="AN23" s="14"/>
      <c r="AO23" s="14"/>
      <c r="AP23" s="14">
        <v>282</v>
      </c>
      <c r="AQ23" s="14">
        <v>106</v>
      </c>
      <c r="AR23" s="14">
        <v>106</v>
      </c>
      <c r="AS23" s="14">
        <v>986</v>
      </c>
      <c r="AT23" s="14">
        <v>101</v>
      </c>
      <c r="AU23" s="14">
        <v>4.45</v>
      </c>
      <c r="AV23" s="14">
        <v>2696</v>
      </c>
      <c r="AW23" s="14">
        <v>123</v>
      </c>
      <c r="AX23" s="14"/>
      <c r="AY23" s="14"/>
      <c r="AZ23" s="14"/>
      <c r="BA23" s="14"/>
      <c r="BB23" s="14"/>
      <c r="BC23" s="14">
        <v>261</v>
      </c>
      <c r="BD23" s="14">
        <v>100</v>
      </c>
      <c r="BE23" s="14">
        <v>107</v>
      </c>
      <c r="BF23" s="14">
        <v>835</v>
      </c>
      <c r="BG23" s="14">
        <v>94</v>
      </c>
      <c r="BH23" s="14">
        <v>4.45</v>
      </c>
      <c r="BI23" s="14">
        <v>1942</v>
      </c>
      <c r="BJ23" s="14">
        <v>102</v>
      </c>
      <c r="BP23" s="14">
        <v>262</v>
      </c>
      <c r="BQ23" s="14">
        <v>105</v>
      </c>
      <c r="BR23" s="14">
        <v>73</v>
      </c>
      <c r="BS23" s="14">
        <v>917</v>
      </c>
      <c r="BT23" s="14">
        <v>96</v>
      </c>
      <c r="BU23" s="14">
        <v>4.45</v>
      </c>
      <c r="BV23" s="14">
        <v>1607</v>
      </c>
      <c r="BW23" s="14">
        <v>85</v>
      </c>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FC23" s="45">
        <v>3550</v>
      </c>
      <c r="FD23" s="45">
        <v>1400</v>
      </c>
      <c r="FE23" s="45">
        <v>1050</v>
      </c>
      <c r="FF23" s="45">
        <v>9100</v>
      </c>
      <c r="FG23" s="45"/>
      <c r="FH23" s="45">
        <v>4.45</v>
      </c>
      <c r="FI23" s="45">
        <v>22600</v>
      </c>
      <c r="FJ23" s="45">
        <v>94</v>
      </c>
      <c r="FK23" s="45"/>
      <c r="FL23" s="45"/>
      <c r="FM23" s="45"/>
      <c r="FN23" s="45"/>
      <c r="FO23" s="45"/>
    </row>
    <row r="24" spans="1:171" x14ac:dyDescent="0.25">
      <c r="A24" s="29">
        <v>23</v>
      </c>
      <c r="B24" s="31" t="s">
        <v>11</v>
      </c>
      <c r="C24" s="14">
        <v>33</v>
      </c>
      <c r="D24" s="14">
        <v>70.53</v>
      </c>
      <c r="E24" s="14">
        <v>15</v>
      </c>
      <c r="F24" s="14">
        <v>0</v>
      </c>
      <c r="G24" s="14">
        <v>3321</v>
      </c>
      <c r="H24" s="14">
        <v>166</v>
      </c>
      <c r="I24" s="14">
        <v>100</v>
      </c>
      <c r="J24" s="14">
        <v>95.86</v>
      </c>
      <c r="K24" s="14">
        <v>0</v>
      </c>
      <c r="L24" s="14">
        <v>0</v>
      </c>
      <c r="M24" s="14">
        <v>295</v>
      </c>
      <c r="N24" s="14"/>
      <c r="O24" s="14"/>
      <c r="P24" s="14">
        <v>37</v>
      </c>
      <c r="Q24" s="14">
        <v>69.540000000000006</v>
      </c>
      <c r="R24" s="14">
        <v>0</v>
      </c>
      <c r="S24" s="14">
        <v>0</v>
      </c>
      <c r="T24" s="20">
        <v>3270</v>
      </c>
      <c r="U24" s="14">
        <v>142</v>
      </c>
      <c r="V24" s="14">
        <v>100</v>
      </c>
      <c r="W24" s="14">
        <v>94.63</v>
      </c>
      <c r="X24" s="14">
        <v>97</v>
      </c>
      <c r="Y24" s="14">
        <v>0</v>
      </c>
      <c r="Z24" s="14">
        <v>309</v>
      </c>
      <c r="AA24" s="14"/>
      <c r="AB24" s="14"/>
      <c r="AC24" s="14">
        <v>34</v>
      </c>
      <c r="AD24" s="14">
        <v>69.540000000000006</v>
      </c>
      <c r="AE24" s="14">
        <v>16</v>
      </c>
      <c r="AF24" s="14">
        <v>0</v>
      </c>
      <c r="AG24" s="14">
        <v>3020</v>
      </c>
      <c r="AH24" s="14">
        <v>151</v>
      </c>
      <c r="AI24" s="14">
        <v>100</v>
      </c>
      <c r="AJ24" s="14">
        <v>95.95</v>
      </c>
      <c r="AK24" s="14">
        <v>95</v>
      </c>
      <c r="AL24" s="14">
        <v>0</v>
      </c>
      <c r="AM24" s="14">
        <v>329</v>
      </c>
      <c r="AN24" s="14"/>
      <c r="AO24" s="14"/>
      <c r="AP24" s="14">
        <v>45</v>
      </c>
      <c r="AQ24" s="14">
        <v>69.55</v>
      </c>
      <c r="AR24" s="14">
        <v>0</v>
      </c>
      <c r="AS24" s="14">
        <v>0</v>
      </c>
      <c r="AT24" s="14">
        <v>3332</v>
      </c>
      <c r="AU24" s="14">
        <v>151</v>
      </c>
      <c r="AV24" s="14">
        <v>100</v>
      </c>
      <c r="AW24" s="14">
        <v>96.6</v>
      </c>
      <c r="AX24" s="14">
        <v>95</v>
      </c>
      <c r="AY24" s="14">
        <v>0</v>
      </c>
      <c r="AZ24" s="14">
        <v>310</v>
      </c>
      <c r="BA24" s="14"/>
      <c r="BB24" s="14"/>
      <c r="BC24" s="14">
        <v>33</v>
      </c>
      <c r="BD24" s="14">
        <v>69.900000000000006</v>
      </c>
      <c r="BE24" s="14">
        <v>0</v>
      </c>
      <c r="BF24" s="14">
        <v>0</v>
      </c>
      <c r="BG24" s="14">
        <v>3239</v>
      </c>
      <c r="BH24" s="14">
        <v>170</v>
      </c>
      <c r="BI24" s="14">
        <v>100</v>
      </c>
      <c r="BJ24" s="14">
        <v>96.8</v>
      </c>
      <c r="BK24" s="14">
        <v>96</v>
      </c>
      <c r="BL24" s="14">
        <v>0</v>
      </c>
      <c r="BM24" s="14">
        <v>284</v>
      </c>
      <c r="BP24" s="14">
        <v>39</v>
      </c>
      <c r="BQ24" s="14">
        <v>69.989999999999995</v>
      </c>
      <c r="BR24" s="14">
        <v>0</v>
      </c>
      <c r="BS24" s="14">
        <v>0</v>
      </c>
      <c r="BT24" s="14">
        <v>3032</v>
      </c>
      <c r="BU24" s="14">
        <v>160</v>
      </c>
      <c r="BV24" s="14">
        <v>100</v>
      </c>
      <c r="BW24" s="14">
        <v>95.04</v>
      </c>
      <c r="BX24" s="14">
        <v>96</v>
      </c>
      <c r="BY24" s="14">
        <v>0</v>
      </c>
      <c r="BZ24" s="14">
        <v>190</v>
      </c>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C24" s="45">
        <v>500</v>
      </c>
      <c r="FD24" s="45">
        <v>70.5</v>
      </c>
      <c r="FE24" s="45">
        <v>5</v>
      </c>
      <c r="FF24" s="45">
        <v>35</v>
      </c>
      <c r="FG24" s="45">
        <v>42500</v>
      </c>
      <c r="FH24" s="45">
        <v>177</v>
      </c>
      <c r="FI24" s="45">
        <v>97</v>
      </c>
      <c r="FJ24" s="45">
        <v>95</v>
      </c>
      <c r="FK24" s="45">
        <v>95</v>
      </c>
      <c r="FL24" s="45">
        <v>95</v>
      </c>
      <c r="FM24" s="45">
        <v>150</v>
      </c>
      <c r="FN24" s="45"/>
      <c r="FO24" s="45"/>
    </row>
    <row r="25" spans="1:171" x14ac:dyDescent="0.25">
      <c r="A25" s="29">
        <v>24</v>
      </c>
      <c r="B25" s="31" t="s">
        <v>12</v>
      </c>
      <c r="C25" s="14">
        <v>0</v>
      </c>
      <c r="D25" s="14">
        <v>35</v>
      </c>
      <c r="E25" s="14">
        <v>0</v>
      </c>
      <c r="F25" s="14">
        <v>94.3</v>
      </c>
      <c r="G25" s="14">
        <v>0.63</v>
      </c>
      <c r="H25" s="14">
        <v>0</v>
      </c>
      <c r="I25" s="14">
        <v>9</v>
      </c>
      <c r="J25" s="14"/>
      <c r="K25" s="14"/>
      <c r="L25" s="14"/>
      <c r="M25" s="14"/>
      <c r="N25" s="14"/>
      <c r="O25" s="14"/>
      <c r="P25" s="14">
        <v>0</v>
      </c>
      <c r="Q25" s="14">
        <v>38</v>
      </c>
      <c r="R25" s="14">
        <v>0</v>
      </c>
      <c r="S25" s="14">
        <v>94.3</v>
      </c>
      <c r="T25" s="20">
        <v>0.31</v>
      </c>
      <c r="U25" s="14">
        <v>0</v>
      </c>
      <c r="V25" s="14">
        <v>3</v>
      </c>
      <c r="W25" s="14"/>
      <c r="X25" s="14"/>
      <c r="Y25" s="14"/>
      <c r="Z25" s="14"/>
      <c r="AA25" s="14"/>
      <c r="AB25" s="14"/>
      <c r="AC25" s="14">
        <v>0</v>
      </c>
      <c r="AD25" s="14">
        <v>28</v>
      </c>
      <c r="AE25" s="14">
        <v>0</v>
      </c>
      <c r="AF25" s="14">
        <v>94.3</v>
      </c>
      <c r="AG25" s="14">
        <v>0.23</v>
      </c>
      <c r="AH25" s="14">
        <v>0</v>
      </c>
      <c r="AI25" s="14">
        <v>8</v>
      </c>
      <c r="AJ25" s="14"/>
      <c r="AK25" s="14"/>
      <c r="AL25" s="14"/>
      <c r="AM25" s="14"/>
      <c r="AN25" s="14"/>
      <c r="AO25" s="14"/>
      <c r="AP25" s="14">
        <v>0</v>
      </c>
      <c r="AQ25" s="14">
        <v>29</v>
      </c>
      <c r="AR25" s="14">
        <v>0</v>
      </c>
      <c r="AS25" s="14">
        <v>94.3</v>
      </c>
      <c r="AT25" s="14">
        <v>0.25</v>
      </c>
      <c r="AU25" s="14">
        <v>0</v>
      </c>
      <c r="AV25" s="14">
        <v>9</v>
      </c>
      <c r="AW25" s="14"/>
      <c r="AX25" s="14"/>
      <c r="AY25" s="14"/>
      <c r="AZ25" s="14"/>
      <c r="BA25" s="14"/>
      <c r="BB25" s="14"/>
      <c r="BC25" s="14">
        <v>0</v>
      </c>
      <c r="BD25" s="14">
        <v>30</v>
      </c>
      <c r="BE25" s="14">
        <v>0</v>
      </c>
      <c r="BF25" s="14">
        <v>94.3</v>
      </c>
      <c r="BG25" s="14">
        <v>0.49</v>
      </c>
      <c r="BH25" s="14">
        <v>0</v>
      </c>
      <c r="BI25" s="14">
        <v>9</v>
      </c>
      <c r="BJ25" s="14"/>
      <c r="BK25" s="14"/>
      <c r="BL25" s="14"/>
      <c r="BM25" s="14"/>
      <c r="BN25" s="14"/>
      <c r="BO25" s="14"/>
      <c r="BP25" s="14">
        <v>0</v>
      </c>
      <c r="BQ25" s="14">
        <v>32</v>
      </c>
      <c r="BR25" s="14">
        <v>0</v>
      </c>
      <c r="BS25" s="14">
        <v>94.3</v>
      </c>
      <c r="BT25" s="44">
        <v>1.2999999999999999E-2</v>
      </c>
      <c r="BU25" s="14">
        <v>0</v>
      </c>
      <c r="BV25" s="14">
        <v>2</v>
      </c>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S25" s="14"/>
      <c r="DT25" s="14"/>
      <c r="DU25" s="14"/>
      <c r="DV25" s="14"/>
      <c r="EC25" s="14"/>
      <c r="ED25" s="14"/>
      <c r="EE25" s="14"/>
      <c r="EF25" s="44"/>
      <c r="EG25" s="44"/>
      <c r="EH25" s="14"/>
      <c r="EI25" s="14"/>
      <c r="EJ25" s="14"/>
      <c r="EK25" s="14"/>
      <c r="EL25" s="14"/>
      <c r="EM25" s="14"/>
      <c r="EN25" s="14"/>
      <c r="EO25" s="14"/>
      <c r="FC25" s="45">
        <v>5</v>
      </c>
      <c r="FD25" s="45">
        <v>500</v>
      </c>
      <c r="FE25" s="45">
        <v>5</v>
      </c>
      <c r="FF25" s="45">
        <v>94</v>
      </c>
      <c r="FG25" s="45">
        <v>5</v>
      </c>
      <c r="FH25" s="45">
        <v>1</v>
      </c>
      <c r="FI25" s="45">
        <v>85</v>
      </c>
      <c r="FJ25" s="45"/>
      <c r="FK25" s="45"/>
      <c r="FL25" s="45"/>
      <c r="FM25" s="45"/>
      <c r="FN25" s="45"/>
      <c r="FO25" s="45"/>
    </row>
    <row r="26" spans="1:171" x14ac:dyDescent="0.25">
      <c r="A26" s="29">
        <v>25</v>
      </c>
      <c r="B26" s="31" t="s">
        <v>13</v>
      </c>
      <c r="C26" s="14">
        <v>629</v>
      </c>
      <c r="D26" s="14">
        <v>86</v>
      </c>
      <c r="E26" s="14">
        <v>0.7</v>
      </c>
      <c r="F26" s="14">
        <v>0.7</v>
      </c>
      <c r="G26" s="14">
        <v>1900</v>
      </c>
      <c r="H26" s="14">
        <v>1038</v>
      </c>
      <c r="I26" s="14">
        <v>0</v>
      </c>
      <c r="J26" s="14">
        <v>61</v>
      </c>
      <c r="K26" s="14"/>
      <c r="L26" s="14"/>
      <c r="M26" s="14"/>
      <c r="N26" s="14"/>
      <c r="O26" s="14"/>
      <c r="P26" s="14">
        <v>470</v>
      </c>
      <c r="Q26" s="14">
        <v>165</v>
      </c>
      <c r="R26" s="14">
        <v>56.41</v>
      </c>
      <c r="S26" s="14">
        <v>56.41</v>
      </c>
      <c r="T26" s="20">
        <v>1900</v>
      </c>
      <c r="U26" s="14">
        <v>160</v>
      </c>
      <c r="V26" s="14">
        <v>0</v>
      </c>
      <c r="W26" s="14">
        <v>82</v>
      </c>
      <c r="X26" s="14"/>
      <c r="Y26" s="14"/>
      <c r="Z26" s="14"/>
      <c r="AA26" s="14"/>
      <c r="AB26" s="14"/>
      <c r="AC26" s="14">
        <v>366</v>
      </c>
      <c r="AD26" s="14">
        <v>22</v>
      </c>
      <c r="AE26" s="14">
        <v>62.04</v>
      </c>
      <c r="AF26" s="14">
        <v>59.74</v>
      </c>
      <c r="AG26" s="14">
        <v>2200</v>
      </c>
      <c r="AH26" s="14">
        <v>37</v>
      </c>
      <c r="AI26" s="14">
        <v>0</v>
      </c>
      <c r="AJ26" s="14">
        <v>4</v>
      </c>
      <c r="AK26" s="14"/>
      <c r="AL26" s="14"/>
      <c r="AM26" s="14"/>
      <c r="AN26" s="14"/>
      <c r="AO26" s="14"/>
      <c r="AP26" s="14">
        <v>444</v>
      </c>
      <c r="AQ26" s="14">
        <v>511</v>
      </c>
      <c r="AR26" s="14">
        <v>64.290000000000006</v>
      </c>
      <c r="AS26" s="14">
        <v>61.98</v>
      </c>
      <c r="AT26" s="14">
        <v>2200</v>
      </c>
      <c r="AU26" s="14">
        <v>773</v>
      </c>
      <c r="AV26" s="14">
        <v>0</v>
      </c>
      <c r="AW26" s="14">
        <v>72</v>
      </c>
      <c r="AX26" s="14"/>
      <c r="AY26" s="14"/>
      <c r="AZ26" s="14"/>
      <c r="BA26" s="14"/>
      <c r="BB26" s="14"/>
      <c r="BC26" s="14">
        <v>533</v>
      </c>
      <c r="BD26" s="14">
        <v>496</v>
      </c>
      <c r="BE26" s="14">
        <v>67.510000000000005</v>
      </c>
      <c r="BF26" s="14">
        <v>65.069999999999993</v>
      </c>
      <c r="BG26" s="14">
        <v>2200</v>
      </c>
      <c r="BH26" s="14">
        <v>114</v>
      </c>
      <c r="BI26" s="14">
        <v>0</v>
      </c>
      <c r="BJ26" s="14">
        <v>54</v>
      </c>
      <c r="BK26" s="14"/>
      <c r="BL26" s="14"/>
      <c r="BM26" s="14"/>
      <c r="BN26" s="14"/>
      <c r="BO26" s="14"/>
      <c r="BP26" s="14">
        <v>452</v>
      </c>
      <c r="BQ26" s="14">
        <v>80</v>
      </c>
      <c r="BR26" s="14">
        <v>79.94</v>
      </c>
      <c r="BS26" s="14">
        <v>77.38</v>
      </c>
      <c r="BT26" s="14">
        <v>23883</v>
      </c>
      <c r="BU26" s="14">
        <v>508</v>
      </c>
      <c r="BV26" s="14">
        <v>0</v>
      </c>
      <c r="BW26" s="14">
        <v>16</v>
      </c>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C26" s="14"/>
      <c r="ED26" s="14"/>
      <c r="EE26" s="14"/>
      <c r="EF26" s="14"/>
      <c r="EG26" s="14"/>
      <c r="EH26" s="14"/>
      <c r="EI26" s="14"/>
      <c r="EJ26" s="14"/>
      <c r="EK26" s="14"/>
      <c r="EL26" s="14"/>
      <c r="EM26" s="14"/>
      <c r="EN26" s="14"/>
      <c r="EO26" s="14"/>
      <c r="FC26" s="45">
        <v>7500</v>
      </c>
      <c r="FD26" s="45">
        <v>4000</v>
      </c>
      <c r="FE26" s="45">
        <v>97</v>
      </c>
      <c r="FF26" s="45">
        <v>97.25</v>
      </c>
      <c r="FG26" s="45">
        <v>50000</v>
      </c>
      <c r="FH26" s="45">
        <v>60000</v>
      </c>
      <c r="FI26" s="45">
        <v>0</v>
      </c>
      <c r="FJ26" s="45">
        <v>500</v>
      </c>
      <c r="FK26" s="45"/>
      <c r="FL26" s="45"/>
      <c r="FM26" s="45"/>
      <c r="FN26" s="45"/>
      <c r="FO26" s="45"/>
    </row>
    <row r="27" spans="1:171" x14ac:dyDescent="0.25">
      <c r="A27" s="29">
        <v>26</v>
      </c>
      <c r="B27" s="31" t="s">
        <v>187</v>
      </c>
      <c r="C27" s="14">
        <v>222</v>
      </c>
      <c r="D27" s="14">
        <v>109</v>
      </c>
      <c r="E27" s="14">
        <v>331</v>
      </c>
      <c r="F27" s="14">
        <v>16.600000000000001</v>
      </c>
      <c r="G27" s="14"/>
      <c r="H27" s="14"/>
      <c r="I27" s="14"/>
      <c r="J27" s="14"/>
      <c r="K27" s="14"/>
      <c r="L27" s="14"/>
      <c r="M27" s="14"/>
      <c r="N27" s="14"/>
      <c r="O27" s="14"/>
      <c r="P27" s="14">
        <v>204</v>
      </c>
      <c r="Q27" s="14">
        <v>103</v>
      </c>
      <c r="R27" s="14">
        <v>307</v>
      </c>
      <c r="S27" s="14">
        <v>13.3</v>
      </c>
      <c r="T27" s="20"/>
      <c r="U27" s="14"/>
      <c r="V27" s="14"/>
      <c r="W27" s="14"/>
      <c r="X27" s="14"/>
      <c r="Y27" s="14"/>
      <c r="Z27" s="14"/>
      <c r="AA27" s="14"/>
      <c r="AB27" s="14"/>
      <c r="AC27" s="14">
        <v>253</v>
      </c>
      <c r="AD27" s="14">
        <v>118</v>
      </c>
      <c r="AE27" s="14">
        <v>371</v>
      </c>
      <c r="AF27" s="14">
        <v>18.600000000000001</v>
      </c>
      <c r="AG27" s="14"/>
      <c r="AH27" s="14"/>
      <c r="AI27" s="14"/>
      <c r="AJ27" s="14"/>
      <c r="AK27" s="14"/>
      <c r="AL27" s="14"/>
      <c r="AM27" s="14"/>
      <c r="AN27" s="14"/>
      <c r="AO27" s="14"/>
      <c r="AP27" s="14">
        <v>179</v>
      </c>
      <c r="AQ27" s="14">
        <v>96</v>
      </c>
      <c r="AR27" s="14">
        <v>275</v>
      </c>
      <c r="AS27" s="14">
        <v>12.5</v>
      </c>
      <c r="AT27" s="19">
        <v>0</v>
      </c>
      <c r="AU27" s="14">
        <v>25</v>
      </c>
      <c r="AV27" s="14">
        <v>1.1000000000000001</v>
      </c>
      <c r="AW27" s="14"/>
      <c r="AX27" s="14"/>
      <c r="AY27" s="14"/>
      <c r="AZ27" s="14"/>
      <c r="BA27" s="14"/>
      <c r="BB27" s="14"/>
      <c r="BC27" s="14">
        <v>205</v>
      </c>
      <c r="BD27" s="14">
        <v>101</v>
      </c>
      <c r="BE27" s="14">
        <v>306</v>
      </c>
      <c r="BF27" s="14">
        <v>16.100000000000001</v>
      </c>
      <c r="BG27" s="14"/>
      <c r="BH27" s="14">
        <v>39</v>
      </c>
      <c r="BI27" s="14">
        <v>2.1</v>
      </c>
      <c r="BJ27" s="14"/>
      <c r="BK27" s="14"/>
      <c r="BL27" s="14"/>
      <c r="BM27" s="14"/>
      <c r="BN27" s="14"/>
      <c r="BO27" s="14"/>
      <c r="BP27" s="14">
        <v>213</v>
      </c>
      <c r="BQ27" s="14">
        <v>95</v>
      </c>
      <c r="BR27" s="14">
        <v>308</v>
      </c>
      <c r="BS27" s="14">
        <v>16.2</v>
      </c>
      <c r="BT27" s="14"/>
      <c r="BU27" s="14">
        <v>25</v>
      </c>
      <c r="BV27" s="14">
        <v>1.3</v>
      </c>
      <c r="BW27" s="14"/>
      <c r="BX27" s="14"/>
      <c r="BY27" s="14"/>
      <c r="BZ27" s="14"/>
      <c r="CA27" s="14"/>
      <c r="CB27" s="14"/>
      <c r="CC27" s="14"/>
      <c r="CD27" s="14"/>
      <c r="CE27" s="14"/>
      <c r="CF27" s="58"/>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S27" s="14"/>
      <c r="DT27" s="14"/>
      <c r="DU27" s="14"/>
      <c r="DV27" s="14"/>
      <c r="DW27" s="14"/>
      <c r="EC27" s="14"/>
      <c r="ED27" s="14"/>
      <c r="EE27" s="14"/>
      <c r="EF27" s="14"/>
      <c r="EG27" s="14"/>
      <c r="EH27" s="14"/>
      <c r="EI27" s="14"/>
      <c r="EJ27" s="14"/>
      <c r="EK27" s="14"/>
      <c r="EL27" s="14"/>
      <c r="EM27" s="14"/>
      <c r="EN27" s="14"/>
      <c r="EO27" s="14"/>
      <c r="FC27" s="45">
        <v>2550</v>
      </c>
      <c r="FD27" s="45">
        <v>1215</v>
      </c>
      <c r="FE27" s="45">
        <v>3765</v>
      </c>
      <c r="FF27" s="45">
        <v>15.5</v>
      </c>
      <c r="FG27" s="45">
        <v>3</v>
      </c>
      <c r="FH27" s="45"/>
      <c r="FI27" s="45"/>
      <c r="FJ27" s="45"/>
      <c r="FK27" s="45"/>
      <c r="FL27" s="45"/>
      <c r="FM27" s="45"/>
      <c r="FN27" s="45"/>
      <c r="FO27" s="45"/>
    </row>
    <row r="28" spans="1:171" x14ac:dyDescent="0.25">
      <c r="A28" s="29">
        <v>27</v>
      </c>
      <c r="B28" s="31" t="s">
        <v>506</v>
      </c>
      <c r="C28" s="14">
        <v>593</v>
      </c>
      <c r="D28" s="14">
        <v>362</v>
      </c>
      <c r="E28" s="14">
        <v>230</v>
      </c>
      <c r="F28" s="14">
        <v>95</v>
      </c>
      <c r="G28" s="14">
        <v>3.06</v>
      </c>
      <c r="H28" s="14">
        <v>56</v>
      </c>
      <c r="I28" s="14">
        <v>1.81</v>
      </c>
      <c r="J28" s="14">
        <v>7</v>
      </c>
      <c r="K28" s="14">
        <v>4</v>
      </c>
      <c r="L28" s="14">
        <v>267</v>
      </c>
      <c r="M28" s="14">
        <v>8.61</v>
      </c>
      <c r="N28" s="14">
        <v>174</v>
      </c>
      <c r="O28" s="14">
        <v>5.61</v>
      </c>
      <c r="P28" s="14">
        <v>600</v>
      </c>
      <c r="Q28" s="14">
        <v>357</v>
      </c>
      <c r="R28" s="14">
        <v>243</v>
      </c>
      <c r="S28" s="14">
        <v>72</v>
      </c>
      <c r="T28" s="20">
        <v>2.3199999999999998</v>
      </c>
      <c r="U28" s="14">
        <v>55</v>
      </c>
      <c r="V28" s="14">
        <v>1.77</v>
      </c>
      <c r="W28" s="14">
        <v>6</v>
      </c>
      <c r="X28" s="14">
        <v>4</v>
      </c>
      <c r="Y28" s="14">
        <v>285</v>
      </c>
      <c r="Z28" s="14">
        <v>9.1999999999999993</v>
      </c>
      <c r="AA28" s="14">
        <v>188</v>
      </c>
      <c r="AB28" s="14">
        <v>6.1</v>
      </c>
      <c r="AC28" s="14">
        <v>587</v>
      </c>
      <c r="AD28" s="14">
        <v>348</v>
      </c>
      <c r="AE28" s="14">
        <v>238</v>
      </c>
      <c r="AF28" s="14">
        <v>81</v>
      </c>
      <c r="AG28" s="14">
        <v>2.7</v>
      </c>
      <c r="AH28" s="14">
        <v>48</v>
      </c>
      <c r="AI28" s="14">
        <v>1.6</v>
      </c>
      <c r="AJ28" s="14">
        <v>7</v>
      </c>
      <c r="AK28" s="14">
        <v>4</v>
      </c>
      <c r="AL28" s="14">
        <v>267</v>
      </c>
      <c r="AM28" s="14">
        <v>8.9</v>
      </c>
      <c r="AN28" s="14">
        <v>190</v>
      </c>
      <c r="AO28" s="14">
        <v>6.3</v>
      </c>
      <c r="AP28" s="14">
        <v>575</v>
      </c>
      <c r="AQ28" s="14">
        <v>347</v>
      </c>
      <c r="AR28" s="14">
        <v>228</v>
      </c>
      <c r="AS28" s="14">
        <v>89</v>
      </c>
      <c r="AT28" s="14">
        <v>2.87</v>
      </c>
      <c r="AU28" s="14">
        <v>56</v>
      </c>
      <c r="AV28" s="14">
        <v>1.81</v>
      </c>
      <c r="AW28" s="14">
        <v>6</v>
      </c>
      <c r="AX28" s="14">
        <v>4</v>
      </c>
      <c r="AY28" s="14">
        <v>258</v>
      </c>
      <c r="AZ28" s="14">
        <v>8.32</v>
      </c>
      <c r="BA28" s="14">
        <v>172</v>
      </c>
      <c r="BB28" s="14">
        <v>5.55</v>
      </c>
      <c r="BC28" s="14">
        <v>558</v>
      </c>
      <c r="BD28" s="14">
        <v>334</v>
      </c>
      <c r="BE28" s="14">
        <v>224</v>
      </c>
      <c r="BF28" s="14">
        <v>79</v>
      </c>
      <c r="BG28" s="14">
        <v>2.63</v>
      </c>
      <c r="BH28" s="14">
        <v>51</v>
      </c>
      <c r="BI28" s="14">
        <v>1.7</v>
      </c>
      <c r="BJ28" s="14">
        <v>6</v>
      </c>
      <c r="BK28" s="14">
        <v>4</v>
      </c>
      <c r="BL28" s="14">
        <v>255</v>
      </c>
      <c r="BM28" s="14">
        <v>8.5</v>
      </c>
      <c r="BN28" s="14">
        <v>173</v>
      </c>
      <c r="BO28" s="14">
        <v>5.77</v>
      </c>
      <c r="BP28" s="14">
        <v>589</v>
      </c>
      <c r="BQ28" s="14">
        <v>363</v>
      </c>
      <c r="BR28" s="14">
        <v>226</v>
      </c>
      <c r="BS28" s="14">
        <v>98</v>
      </c>
      <c r="BT28" s="14">
        <v>3.16</v>
      </c>
      <c r="BU28" s="14">
        <v>45</v>
      </c>
      <c r="BV28" s="14">
        <v>1.45</v>
      </c>
      <c r="BW28" s="14">
        <v>7</v>
      </c>
      <c r="BX28" s="14">
        <v>4</v>
      </c>
      <c r="BY28" s="14">
        <v>265</v>
      </c>
      <c r="BZ28" s="14">
        <v>8.52</v>
      </c>
      <c r="CA28" s="14">
        <v>181</v>
      </c>
      <c r="CB28" s="14">
        <v>5.84</v>
      </c>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45">
        <v>7000</v>
      </c>
      <c r="FD28" s="45">
        <v>4500</v>
      </c>
      <c r="FE28" s="45">
        <v>3000</v>
      </c>
      <c r="FF28" s="45">
        <v>960</v>
      </c>
      <c r="FG28" s="45">
        <v>2.65</v>
      </c>
      <c r="FH28" s="45">
        <v>750</v>
      </c>
      <c r="FI28" s="45">
        <v>1.5</v>
      </c>
      <c r="FJ28" s="45">
        <v>6</v>
      </c>
      <c r="FK28" s="45">
        <v>4</v>
      </c>
      <c r="FL28" s="45">
        <v>3000</v>
      </c>
      <c r="FM28" s="45">
        <v>7.5</v>
      </c>
      <c r="FN28" s="45">
        <v>2750</v>
      </c>
      <c r="FO28" s="45">
        <v>6</v>
      </c>
    </row>
    <row r="29" spans="1:171" s="11" customFormat="1" x14ac:dyDescent="0.25">
      <c r="A29" s="30">
        <v>28</v>
      </c>
      <c r="B29" s="31" t="s">
        <v>232</v>
      </c>
      <c r="C29" s="44">
        <v>4562</v>
      </c>
      <c r="D29" s="44">
        <v>10238</v>
      </c>
      <c r="E29" s="44">
        <v>260</v>
      </c>
      <c r="F29" s="44">
        <v>13</v>
      </c>
      <c r="G29" s="44">
        <v>8</v>
      </c>
      <c r="H29" s="44">
        <v>3</v>
      </c>
      <c r="I29" s="44">
        <v>48.8</v>
      </c>
      <c r="J29" s="44">
        <v>38.4</v>
      </c>
      <c r="K29" s="44">
        <v>21.3</v>
      </c>
      <c r="L29" s="44"/>
      <c r="M29" s="44"/>
      <c r="N29" s="44"/>
      <c r="O29" s="44"/>
      <c r="P29" s="44">
        <v>4831</v>
      </c>
      <c r="Q29" s="44">
        <v>10238</v>
      </c>
      <c r="R29" s="44">
        <v>282</v>
      </c>
      <c r="S29" s="44">
        <v>12.3</v>
      </c>
      <c r="T29" s="57">
        <v>8</v>
      </c>
      <c r="U29" s="44">
        <v>3</v>
      </c>
      <c r="V29" s="44">
        <v>92.2</v>
      </c>
      <c r="W29" s="44">
        <v>84.4</v>
      </c>
      <c r="X29" s="44">
        <v>8.5</v>
      </c>
      <c r="Y29" s="44"/>
      <c r="Z29" s="44"/>
      <c r="AA29" s="44"/>
      <c r="AB29" s="44"/>
      <c r="AC29" s="44">
        <v>4525</v>
      </c>
      <c r="AD29" s="44">
        <v>10238</v>
      </c>
      <c r="AE29" s="44">
        <v>307</v>
      </c>
      <c r="AF29" s="44">
        <v>15.4</v>
      </c>
      <c r="AG29" s="44">
        <v>8</v>
      </c>
      <c r="AH29" s="44">
        <v>3</v>
      </c>
      <c r="AI29" s="44">
        <v>133.6</v>
      </c>
      <c r="AJ29" s="44">
        <v>125.2</v>
      </c>
      <c r="AK29" s="44">
        <v>6.4</v>
      </c>
      <c r="AL29" s="44"/>
      <c r="AM29" s="44"/>
      <c r="AN29" s="44"/>
      <c r="AO29" s="44"/>
      <c r="AP29" s="44">
        <v>4918</v>
      </c>
      <c r="AQ29" s="44">
        <v>10238</v>
      </c>
      <c r="AR29" s="44">
        <v>264</v>
      </c>
      <c r="AS29" s="44">
        <v>12</v>
      </c>
      <c r="AT29" s="44">
        <v>8</v>
      </c>
      <c r="AU29" s="44">
        <v>3</v>
      </c>
      <c r="AV29" s="44">
        <v>174.9</v>
      </c>
      <c r="AW29" s="44">
        <v>160.4</v>
      </c>
      <c r="AX29" s="44">
        <v>8.4</v>
      </c>
      <c r="AY29" s="44"/>
      <c r="AZ29" s="44"/>
      <c r="BA29" s="44"/>
      <c r="BB29" s="44"/>
      <c r="BC29" s="44">
        <v>4873</v>
      </c>
      <c r="BD29" s="44">
        <v>10238</v>
      </c>
      <c r="BE29" s="44">
        <v>270</v>
      </c>
      <c r="BF29" s="44">
        <v>14.2</v>
      </c>
      <c r="BG29" s="44">
        <v>8</v>
      </c>
      <c r="BH29" s="44">
        <v>3</v>
      </c>
      <c r="BI29" s="44">
        <v>213.6</v>
      </c>
      <c r="BJ29" s="44">
        <v>194.9</v>
      </c>
      <c r="BK29" s="44">
        <v>8.8000000000000007</v>
      </c>
      <c r="BL29" s="44"/>
      <c r="BM29" s="44"/>
      <c r="BN29" s="44"/>
      <c r="BO29" s="44"/>
      <c r="BP29" s="44">
        <v>4542</v>
      </c>
      <c r="BQ29" s="44">
        <v>10238</v>
      </c>
      <c r="BR29" s="44">
        <v>211</v>
      </c>
      <c r="BS29" s="44">
        <v>11.1</v>
      </c>
      <c r="BT29" s="44">
        <v>8</v>
      </c>
      <c r="BU29" s="44">
        <v>3</v>
      </c>
      <c r="BV29" s="44">
        <v>251.2</v>
      </c>
      <c r="BW29" s="44">
        <v>229.8</v>
      </c>
      <c r="BX29" s="44">
        <v>8.5</v>
      </c>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S29" s="44"/>
      <c r="DT29" s="44"/>
      <c r="DU29" s="44"/>
      <c r="DV29" s="44"/>
      <c r="DW29" s="44"/>
      <c r="DX29" s="44"/>
      <c r="EC29" s="44"/>
      <c r="ED29" s="44"/>
      <c r="EE29" s="44"/>
      <c r="EF29" s="44"/>
      <c r="EG29" s="44"/>
      <c r="EH29" s="44"/>
      <c r="EI29" s="44"/>
      <c r="EJ29" s="44"/>
      <c r="EK29" s="44"/>
      <c r="FC29" s="45">
        <v>55500</v>
      </c>
      <c r="FD29" s="45">
        <v>10250</v>
      </c>
      <c r="FE29" s="45">
        <v>3150</v>
      </c>
      <c r="FF29" s="45">
        <v>13.1</v>
      </c>
      <c r="FG29" s="45">
        <v>10</v>
      </c>
      <c r="FH29" s="45">
        <v>5</v>
      </c>
      <c r="FI29" s="45">
        <v>630</v>
      </c>
      <c r="FJ29" s="45">
        <v>535</v>
      </c>
      <c r="FK29" s="45">
        <v>15</v>
      </c>
      <c r="FL29" s="45"/>
      <c r="FM29" s="45"/>
      <c r="FN29" s="45"/>
      <c r="FO29" s="45"/>
    </row>
    <row r="30" spans="1:171" x14ac:dyDescent="0.25">
      <c r="A30" s="29">
        <v>29</v>
      </c>
      <c r="B30" s="32">
        <v>911</v>
      </c>
      <c r="C30" s="14">
        <v>10975</v>
      </c>
      <c r="D30" s="14">
        <v>2.27</v>
      </c>
      <c r="E30" s="14">
        <v>1.04</v>
      </c>
      <c r="F30" s="14">
        <v>2.15</v>
      </c>
      <c r="G30" s="14">
        <v>4.57</v>
      </c>
      <c r="H30" s="14">
        <v>96.55</v>
      </c>
      <c r="I30" s="14"/>
      <c r="J30" s="14"/>
      <c r="K30" s="14"/>
      <c r="L30" s="14"/>
      <c r="M30" s="14"/>
      <c r="N30" s="14"/>
      <c r="O30" s="14"/>
      <c r="P30" s="14">
        <v>10764</v>
      </c>
      <c r="Q30" s="14">
        <v>2.21</v>
      </c>
      <c r="R30" s="14">
        <v>1.03</v>
      </c>
      <c r="S30" s="14">
        <v>2.54</v>
      </c>
      <c r="T30" s="20">
        <v>4.01</v>
      </c>
      <c r="U30" s="14">
        <v>95.95</v>
      </c>
      <c r="V30" s="14"/>
      <c r="W30" s="14"/>
      <c r="X30" s="14"/>
      <c r="Y30" s="14"/>
      <c r="Z30" s="14"/>
      <c r="AA30" s="14"/>
      <c r="AB30" s="14"/>
      <c r="AC30" s="14">
        <v>10557</v>
      </c>
      <c r="AD30" s="14">
        <v>2.1800000000000002</v>
      </c>
      <c r="AE30" s="14">
        <v>0.56999999999999995</v>
      </c>
      <c r="AF30" s="14">
        <v>2.39</v>
      </c>
      <c r="AG30" s="14">
        <v>4.07</v>
      </c>
      <c r="AH30" s="14">
        <v>96.74</v>
      </c>
      <c r="AI30" s="14"/>
      <c r="AJ30" s="14"/>
      <c r="AK30" s="14"/>
      <c r="AL30" s="14"/>
      <c r="AM30" s="14"/>
      <c r="AN30" s="14"/>
      <c r="AO30" s="14"/>
      <c r="AP30" s="14">
        <v>11233</v>
      </c>
      <c r="AQ30" s="14">
        <v>2.1</v>
      </c>
      <c r="AR30" s="14">
        <v>1.01</v>
      </c>
      <c r="AS30" s="14">
        <v>2.37</v>
      </c>
      <c r="AT30" s="22">
        <v>4.0999999999999996</v>
      </c>
      <c r="AU30" s="14">
        <v>97.13</v>
      </c>
      <c r="AV30" s="14"/>
      <c r="AW30" s="14"/>
      <c r="AX30" s="14"/>
      <c r="AY30" s="14"/>
      <c r="AZ30" s="14"/>
      <c r="BA30" s="14"/>
      <c r="BB30" s="14"/>
      <c r="BC30" s="14">
        <v>11251</v>
      </c>
      <c r="BD30" s="14">
        <v>2.14</v>
      </c>
      <c r="BE30" s="14">
        <v>0.59</v>
      </c>
      <c r="BF30" s="14">
        <v>2.1800000000000002</v>
      </c>
      <c r="BG30" s="14">
        <v>4</v>
      </c>
      <c r="BH30" s="14">
        <v>97.25</v>
      </c>
      <c r="BI30" s="14"/>
      <c r="BJ30" s="14"/>
      <c r="BK30" s="14"/>
      <c r="BL30" s="14"/>
      <c r="BM30" s="14"/>
      <c r="BN30" s="14"/>
      <c r="BO30" s="14"/>
      <c r="BP30" s="14">
        <v>11099</v>
      </c>
      <c r="BQ30" s="14">
        <v>2.1800000000000002</v>
      </c>
      <c r="BR30" s="14">
        <v>1.05</v>
      </c>
      <c r="BS30" s="14">
        <v>2.17</v>
      </c>
      <c r="BT30" s="14">
        <v>3.73</v>
      </c>
      <c r="BU30" s="14">
        <v>97.29</v>
      </c>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S30" s="14"/>
      <c r="DT30" s="14"/>
      <c r="DU30" s="14"/>
      <c r="EC30" s="14"/>
      <c r="ED30" s="14"/>
      <c r="EE30" s="14"/>
      <c r="EF30" s="14"/>
      <c r="EG30" s="14"/>
      <c r="EH30" s="14"/>
      <c r="EP30" s="11"/>
      <c r="EQ30" s="11"/>
      <c r="ER30" s="11"/>
      <c r="ES30" s="11"/>
      <c r="ET30" s="11"/>
      <c r="EU30" s="11"/>
      <c r="FC30" s="45">
        <v>120500</v>
      </c>
      <c r="FD30" s="45">
        <v>2.25</v>
      </c>
      <c r="FE30" s="45">
        <v>1</v>
      </c>
      <c r="FF30" s="45">
        <v>2.5</v>
      </c>
      <c r="FG30" s="45">
        <v>4.25</v>
      </c>
      <c r="FH30" s="45">
        <v>95.25</v>
      </c>
      <c r="FI30" s="45"/>
      <c r="FJ30" s="45"/>
      <c r="FK30" s="45"/>
      <c r="FL30" s="45"/>
      <c r="FM30" s="45"/>
      <c r="FN30" s="45"/>
      <c r="FO30" s="45"/>
    </row>
    <row r="31" spans="1:171" x14ac:dyDescent="0.25">
      <c r="A31" s="41"/>
      <c r="B31" s="47"/>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S31" s="14"/>
      <c r="DT31" s="14"/>
      <c r="DU31" s="14"/>
      <c r="FC31" s="11"/>
      <c r="FD31" s="11"/>
      <c r="FE31" s="11"/>
      <c r="FF31" s="11"/>
      <c r="FG31" s="11"/>
      <c r="FH31" s="11"/>
      <c r="FI31" s="11"/>
      <c r="FJ31" s="11"/>
      <c r="FK31" s="11"/>
      <c r="FL31" s="11"/>
      <c r="FM31" s="11"/>
      <c r="FN31" s="11"/>
      <c r="FO31" s="11"/>
    </row>
    <row r="32" spans="1:171" x14ac:dyDescent="0.25">
      <c r="A32" s="41"/>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S32" s="14"/>
      <c r="DT32" s="14"/>
      <c r="DU32" s="14"/>
      <c r="DV32" s="14"/>
    </row>
    <row r="33" spans="1:124" x14ac:dyDescent="0.25">
      <c r="A33" s="41"/>
      <c r="B33" s="4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S33" s="14"/>
      <c r="DT33" s="14"/>
    </row>
    <row r="34" spans="1:124" x14ac:dyDescent="0.25">
      <c r="C34" s="14"/>
      <c r="D34" s="14"/>
      <c r="E34" s="14"/>
      <c r="F34" s="14"/>
      <c r="G34" s="14"/>
      <c r="H34" s="14"/>
      <c r="I34" s="14"/>
      <c r="J34" s="14"/>
      <c r="K34" s="14"/>
      <c r="L34" s="14"/>
      <c r="M34" s="14"/>
      <c r="N34" s="14"/>
      <c r="O34" s="14"/>
      <c r="P34" s="14"/>
      <c r="Q34" s="14"/>
      <c r="R34" s="14"/>
      <c r="S34" s="14"/>
      <c r="T34" s="20"/>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row>
    <row r="35" spans="1:124" x14ac:dyDescent="0.25">
      <c r="C35" s="14"/>
      <c r="D35" s="14"/>
      <c r="E35" s="14"/>
      <c r="F35" s="14"/>
      <c r="G35" s="14"/>
      <c r="H35" s="14"/>
      <c r="I35" s="14"/>
      <c r="J35" s="14"/>
      <c r="K35" s="14"/>
      <c r="L35" s="14"/>
      <c r="M35" s="14"/>
      <c r="N35" s="14"/>
      <c r="O35" s="14"/>
      <c r="P35" s="14"/>
      <c r="Q35" s="14"/>
      <c r="R35" s="14"/>
      <c r="S35" s="14"/>
      <c r="T35" s="20"/>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row>
    <row r="36" spans="1:124" x14ac:dyDescent="0.25">
      <c r="C36" s="14"/>
      <c r="D36" s="14"/>
      <c r="E36" s="14"/>
      <c r="F36" s="14"/>
      <c r="G36" s="14"/>
      <c r="H36" s="14"/>
      <c r="I36" s="14"/>
      <c r="J36" s="14"/>
      <c r="K36" s="14"/>
      <c r="L36" s="14"/>
      <c r="M36" s="14"/>
      <c r="N36" s="14"/>
      <c r="O36" s="14"/>
      <c r="P36" s="14"/>
      <c r="Q36" s="14"/>
      <c r="R36" s="14"/>
      <c r="S36" s="14"/>
      <c r="T36" s="20"/>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row>
    <row r="37" spans="1:124" x14ac:dyDescent="0.25">
      <c r="C37" s="14"/>
      <c r="D37" s="14"/>
      <c r="E37" s="14"/>
      <c r="F37" s="14"/>
      <c r="G37" s="14"/>
      <c r="H37" s="14"/>
      <c r="I37" s="14"/>
      <c r="J37" s="14"/>
      <c r="K37" s="14"/>
      <c r="L37" s="14"/>
      <c r="M37" s="14"/>
      <c r="N37" s="14"/>
      <c r="O37" s="14"/>
      <c r="P37" s="14"/>
      <c r="Q37" s="14"/>
      <c r="R37" s="14"/>
      <c r="S37" s="14"/>
      <c r="T37" s="20"/>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row>
    <row r="38" spans="1:124" x14ac:dyDescent="0.25">
      <c r="C38" s="14"/>
      <c r="D38" s="14"/>
      <c r="E38" s="14"/>
      <c r="F38" s="14"/>
      <c r="G38" s="14"/>
      <c r="H38" s="14"/>
      <c r="I38" s="14"/>
      <c r="J38" s="14"/>
      <c r="K38" s="14"/>
      <c r="L38" s="14"/>
      <c r="M38" s="14"/>
      <c r="N38" s="14"/>
      <c r="O38" s="14"/>
      <c r="P38" s="14"/>
      <c r="Q38" s="14"/>
      <c r="R38" s="14"/>
      <c r="S38" s="14"/>
      <c r="T38" s="20"/>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row>
    <row r="39" spans="1:124" x14ac:dyDescent="0.25">
      <c r="C39" s="14"/>
      <c r="D39" s="14"/>
      <c r="E39" s="14"/>
      <c r="F39" s="14"/>
      <c r="G39" s="14"/>
      <c r="H39" s="14"/>
      <c r="I39" s="14"/>
      <c r="J39" s="14"/>
      <c r="K39" s="14"/>
      <c r="L39" s="14"/>
      <c r="M39" s="14"/>
      <c r="N39" s="14"/>
      <c r="O39" s="14"/>
      <c r="P39" s="14"/>
      <c r="Q39" s="14"/>
      <c r="R39" s="14"/>
      <c r="S39" s="14"/>
      <c r="T39" s="20"/>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row>
    <row r="40" spans="1:124" x14ac:dyDescent="0.25">
      <c r="B40" s="13"/>
      <c r="C40" s="14"/>
      <c r="D40" s="14"/>
      <c r="E40" s="14"/>
      <c r="F40" s="14"/>
      <c r="G40" s="14"/>
      <c r="H40" s="14"/>
      <c r="I40" s="14"/>
      <c r="J40" s="14"/>
      <c r="K40" s="14"/>
      <c r="L40" s="14"/>
      <c r="M40" s="14"/>
      <c r="N40" s="14"/>
      <c r="O40" s="14"/>
      <c r="P40" s="14"/>
      <c r="Q40" s="14"/>
      <c r="R40" s="14"/>
      <c r="S40" s="14"/>
      <c r="T40" s="20"/>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row>
    <row r="41" spans="1:124" x14ac:dyDescent="0.25">
      <c r="C41" s="14"/>
      <c r="D41" s="14"/>
      <c r="E41" s="14"/>
      <c r="F41" s="14"/>
      <c r="G41" s="14"/>
      <c r="H41" s="14"/>
      <c r="I41" s="14"/>
      <c r="J41" s="14"/>
      <c r="K41" s="14"/>
      <c r="L41" s="14"/>
      <c r="M41" s="14"/>
      <c r="N41" s="14"/>
      <c r="O41" s="14"/>
      <c r="P41" s="14"/>
      <c r="Q41" s="14"/>
      <c r="R41" s="14"/>
      <c r="S41" s="14"/>
      <c r="T41" s="20"/>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row>
    <row r="42" spans="1:124" x14ac:dyDescent="0.25">
      <c r="C42" s="14"/>
      <c r="D42" s="14"/>
      <c r="E42" s="14"/>
      <c r="F42" s="14"/>
      <c r="G42" s="14"/>
      <c r="H42" s="14"/>
      <c r="I42" s="14"/>
      <c r="J42" s="14"/>
      <c r="K42" s="14"/>
      <c r="L42" s="14"/>
      <c r="M42" s="14"/>
      <c r="N42" s="14"/>
      <c r="O42" s="14"/>
      <c r="P42" s="14"/>
      <c r="Q42" s="14"/>
      <c r="R42" s="14"/>
      <c r="S42" s="14"/>
      <c r="T42" s="20"/>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row>
    <row r="43" spans="1:124" x14ac:dyDescent="0.25">
      <c r="C43" s="14"/>
      <c r="D43" s="14"/>
      <c r="E43" s="14"/>
      <c r="F43" s="14"/>
      <c r="G43" s="14"/>
      <c r="H43" s="14"/>
      <c r="I43" s="14"/>
      <c r="J43" s="14"/>
      <c r="K43" s="14"/>
      <c r="L43" s="14"/>
      <c r="M43" s="14"/>
      <c r="N43" s="14"/>
      <c r="O43" s="14"/>
      <c r="P43" s="14"/>
      <c r="Q43" s="14"/>
      <c r="R43" s="14"/>
      <c r="S43" s="14"/>
      <c r="T43" s="20"/>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row>
    <row r="44" spans="1:124" x14ac:dyDescent="0.25">
      <c r="C44" s="14"/>
      <c r="D44" s="14"/>
      <c r="E44" s="14"/>
      <c r="F44" s="16"/>
      <c r="G44" s="14"/>
      <c r="H44" s="14"/>
      <c r="I44" s="14"/>
      <c r="J44" s="14"/>
      <c r="K44" s="14"/>
      <c r="L44" s="14"/>
      <c r="M44" s="14"/>
      <c r="N44" s="14"/>
      <c r="O44" s="14"/>
      <c r="P44" s="14"/>
      <c r="Q44" s="14"/>
      <c r="R44" s="14"/>
      <c r="S44" s="14"/>
      <c r="T44" s="20"/>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row>
    <row r="45" spans="1:124" x14ac:dyDescent="0.25">
      <c r="C45" s="14"/>
      <c r="D45" s="14"/>
      <c r="E45" s="14"/>
      <c r="F45" s="14"/>
      <c r="G45" s="14"/>
      <c r="H45" s="14"/>
      <c r="I45" s="14"/>
      <c r="J45" s="14"/>
      <c r="K45" s="14"/>
      <c r="L45" s="14"/>
      <c r="M45" s="14"/>
      <c r="N45" s="14"/>
      <c r="O45" s="14"/>
      <c r="P45" s="14"/>
      <c r="Q45" s="14"/>
      <c r="R45" s="14"/>
      <c r="S45" s="14"/>
      <c r="T45" s="20"/>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row>
    <row r="46" spans="1:124" x14ac:dyDescent="0.25">
      <c r="C46" s="14"/>
      <c r="D46" s="14"/>
      <c r="E46" s="14"/>
      <c r="F46" s="14"/>
      <c r="G46" s="14"/>
      <c r="H46" s="14"/>
      <c r="I46" s="14"/>
      <c r="J46" s="14"/>
      <c r="K46" s="14"/>
      <c r="L46" s="14"/>
      <c r="M46" s="14"/>
      <c r="N46" s="14"/>
      <c r="O46" s="14"/>
      <c r="P46" s="14"/>
      <c r="Q46" s="14"/>
      <c r="R46" s="14"/>
      <c r="S46" s="14"/>
      <c r="T46" s="20"/>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row>
    <row r="47" spans="1:124" x14ac:dyDescent="0.25">
      <c r="B47" s="13"/>
      <c r="C47" s="14"/>
      <c r="D47" s="14"/>
      <c r="E47" s="14"/>
      <c r="F47" s="14"/>
      <c r="G47" s="14"/>
      <c r="H47" s="14"/>
      <c r="I47" s="14"/>
      <c r="J47" s="14"/>
      <c r="K47" s="14"/>
      <c r="L47" s="14"/>
      <c r="M47" s="14"/>
      <c r="N47" s="14"/>
      <c r="O47" s="14"/>
      <c r="P47" s="14"/>
      <c r="Q47" s="14"/>
      <c r="R47" s="14"/>
      <c r="S47" s="14"/>
      <c r="T47" s="20"/>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row>
    <row r="48" spans="1:124" x14ac:dyDescent="0.25">
      <c r="C48" s="14"/>
      <c r="D48" s="14"/>
      <c r="E48" s="14"/>
      <c r="F48" s="14"/>
      <c r="G48" s="14"/>
      <c r="H48" s="14"/>
      <c r="I48" s="14"/>
      <c r="J48" s="14"/>
      <c r="K48" s="14"/>
      <c r="L48" s="14"/>
      <c r="M48" s="14"/>
      <c r="N48" s="14"/>
      <c r="O48" s="14"/>
      <c r="P48" s="14"/>
      <c r="Q48" s="14"/>
      <c r="R48" s="14"/>
      <c r="S48" s="14"/>
      <c r="T48" s="20"/>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row>
    <row r="49" spans="2:120" x14ac:dyDescent="0.25">
      <c r="C49" s="14"/>
      <c r="D49" s="14"/>
      <c r="E49" s="14"/>
      <c r="F49" s="14"/>
      <c r="G49" s="14"/>
      <c r="H49" s="14"/>
      <c r="I49" s="14"/>
      <c r="J49" s="14"/>
      <c r="K49" s="14"/>
      <c r="L49" s="14"/>
      <c r="M49" s="14"/>
      <c r="N49" s="14"/>
      <c r="O49" s="14"/>
      <c r="P49" s="14"/>
      <c r="Q49" s="14"/>
      <c r="R49" s="14"/>
      <c r="S49" s="14"/>
      <c r="T49" s="20"/>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row>
    <row r="50" spans="2:120" x14ac:dyDescent="0.25">
      <c r="C50" s="14"/>
      <c r="D50" s="14"/>
      <c r="E50" s="14"/>
      <c r="F50" s="14"/>
      <c r="G50" s="14"/>
      <c r="H50" s="14"/>
      <c r="I50" s="14"/>
      <c r="J50" s="14"/>
      <c r="K50" s="14"/>
      <c r="L50" s="14"/>
      <c r="M50" s="14"/>
      <c r="N50" s="14"/>
      <c r="O50" s="14"/>
      <c r="P50" s="14"/>
      <c r="Q50" s="14"/>
      <c r="R50" s="14"/>
      <c r="S50" s="14"/>
      <c r="T50" s="20"/>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row>
    <row r="51" spans="2:120" x14ac:dyDescent="0.25">
      <c r="C51" s="14"/>
      <c r="D51" s="14"/>
      <c r="E51" s="14"/>
      <c r="F51" s="14"/>
      <c r="G51" s="14"/>
      <c r="H51" s="14"/>
      <c r="I51" s="14"/>
      <c r="J51" s="14"/>
      <c r="K51" s="14"/>
      <c r="L51" s="14"/>
      <c r="M51" s="14"/>
      <c r="N51" s="14"/>
      <c r="O51" s="14"/>
      <c r="P51" s="14"/>
      <c r="Q51" s="14"/>
      <c r="R51" s="14"/>
      <c r="S51" s="14"/>
      <c r="T51" s="20"/>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row>
    <row r="52" spans="2:120" x14ac:dyDescent="0.25">
      <c r="B52" s="13"/>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row>
    <row r="53" spans="2:120" x14ac:dyDescent="0.2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row>
    <row r="54" spans="2:120" x14ac:dyDescent="0.2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row>
    <row r="55" spans="2:120" x14ac:dyDescent="0.25">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t="s">
        <v>330</v>
      </c>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row>
    <row r="56" spans="2:120" x14ac:dyDescent="0.25">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row>
    <row r="57" spans="2:120" x14ac:dyDescent="0.25">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row>
    <row r="58" spans="2:120" x14ac:dyDescent="0.25">
      <c r="B58" s="1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row>
    <row r="59" spans="2:120" x14ac:dyDescent="0.25">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row>
    <row r="60" spans="2:120" x14ac:dyDescent="0.25">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row>
    <row r="61" spans="2:120" x14ac:dyDescent="0.2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row>
    <row r="62" spans="2:120" x14ac:dyDescent="0.2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row>
    <row r="63" spans="2:120" x14ac:dyDescent="0.2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row>
    <row r="64" spans="2:120" x14ac:dyDescent="0.25">
      <c r="B64" s="13"/>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row>
    <row r="65" spans="2:120" x14ac:dyDescent="0.25">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row>
    <row r="66" spans="2:120" x14ac:dyDescent="0.25">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row>
    <row r="67" spans="2:120" x14ac:dyDescent="0.25">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row>
    <row r="68" spans="2:120" x14ac:dyDescent="0.25">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row>
    <row r="69" spans="2:120" x14ac:dyDescent="0.25">
      <c r="B69" s="13"/>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row>
    <row r="70" spans="2:120" x14ac:dyDescent="0.25">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row>
    <row r="71" spans="2:120" x14ac:dyDescent="0.25">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row>
    <row r="72" spans="2:120" x14ac:dyDescent="0.25">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row>
    <row r="73" spans="2:120" x14ac:dyDescent="0.25">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row>
    <row r="74" spans="2:120" x14ac:dyDescent="0.25">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row>
    <row r="75" spans="2:120" x14ac:dyDescent="0.25">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row>
    <row r="76" spans="2:120" x14ac:dyDescent="0.25">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row>
    <row r="77" spans="2:120" x14ac:dyDescent="0.25">
      <c r="B77" s="13"/>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row>
    <row r="78" spans="2:120" x14ac:dyDescent="0.25">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row>
    <row r="79" spans="2:120" x14ac:dyDescent="0.25">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row>
    <row r="80" spans="2:120" x14ac:dyDescent="0.25">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row>
    <row r="81" spans="2:120" x14ac:dyDescent="0.25">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row>
    <row r="82" spans="2:120" x14ac:dyDescent="0.25">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row>
    <row r="83" spans="2:120" x14ac:dyDescent="0.25">
      <c r="B83" s="13"/>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row>
    <row r="84" spans="2:120" x14ac:dyDescent="0.25">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row>
    <row r="85" spans="2:120" x14ac:dyDescent="0.25">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row>
    <row r="86" spans="2:120" x14ac:dyDescent="0.25">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row>
    <row r="87" spans="2:120" x14ac:dyDescent="0.25">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row>
    <row r="88" spans="2:120" x14ac:dyDescent="0.25">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row>
    <row r="89" spans="2:120" x14ac:dyDescent="0.25">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row>
    <row r="90" spans="2:120" x14ac:dyDescent="0.25">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row>
    <row r="91" spans="2:120" x14ac:dyDescent="0.25">
      <c r="B91" s="13"/>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row>
    <row r="92" spans="2:120" x14ac:dyDescent="0.25">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row>
    <row r="93" spans="2:120" x14ac:dyDescent="0.25">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row>
    <row r="94" spans="2:120" x14ac:dyDescent="0.25">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row>
    <row r="95" spans="2:120" x14ac:dyDescent="0.25">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row>
    <row r="96" spans="2:120" x14ac:dyDescent="0.25">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row>
    <row r="97" spans="2:120" x14ac:dyDescent="0.25">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row>
    <row r="98" spans="2:120" x14ac:dyDescent="0.25">
      <c r="B98" s="13"/>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row>
    <row r="99" spans="2:120" x14ac:dyDescent="0.25">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row>
    <row r="100" spans="2:120" x14ac:dyDescent="0.2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row>
    <row r="101" spans="2:120" x14ac:dyDescent="0.2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row>
    <row r="102" spans="2:120" x14ac:dyDescent="0.25">
      <c r="B102" s="13"/>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row>
    <row r="103" spans="2:120" x14ac:dyDescent="0.25">
      <c r="B103" s="17"/>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row>
    <row r="104" spans="2:120" x14ac:dyDescent="0.25">
      <c r="B104" s="17"/>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row>
    <row r="105" spans="2:120" x14ac:dyDescent="0.25">
      <c r="B105" s="17"/>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row>
    <row r="106" spans="2:120" x14ac:dyDescent="0.25">
      <c r="B106" s="17"/>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row>
    <row r="107" spans="2:120" x14ac:dyDescent="0.25">
      <c r="B107" s="17"/>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row>
    <row r="108" spans="2:120" x14ac:dyDescent="0.25">
      <c r="B108" s="17"/>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row>
    <row r="109" spans="2:120" x14ac:dyDescent="0.25">
      <c r="B109" s="18"/>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row>
    <row r="110" spans="2:120" x14ac:dyDescent="0.25">
      <c r="B110" s="17"/>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row>
    <row r="111" spans="2:120" x14ac:dyDescent="0.25">
      <c r="B111" s="17"/>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row>
    <row r="112" spans="2:120" x14ac:dyDescent="0.25">
      <c r="B112" s="17"/>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row>
    <row r="113" spans="2:120" x14ac:dyDescent="0.25">
      <c r="B113" s="17"/>
      <c r="C113" s="14"/>
      <c r="D113" s="14"/>
      <c r="E113" s="14"/>
      <c r="F113" s="19"/>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row>
    <row r="114" spans="2:120" x14ac:dyDescent="0.25">
      <c r="B114" s="17"/>
      <c r="C114" s="14"/>
      <c r="D114" s="14"/>
      <c r="E114" s="14"/>
      <c r="F114" s="19"/>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row>
    <row r="115" spans="2:120" x14ac:dyDescent="0.25">
      <c r="B115" s="17"/>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row>
    <row r="116" spans="2:120" x14ac:dyDescent="0.25">
      <c r="B116" s="17"/>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row>
    <row r="117" spans="2:120" x14ac:dyDescent="0.25">
      <c r="B117" s="17"/>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row>
    <row r="118" spans="2:120" x14ac:dyDescent="0.25">
      <c r="B118" s="17"/>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row>
    <row r="119" spans="2:120" x14ac:dyDescent="0.25">
      <c r="B119" s="17"/>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row>
    <row r="120" spans="2:120" x14ac:dyDescent="0.25">
      <c r="B120" s="17"/>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row>
    <row r="121" spans="2:120" x14ac:dyDescent="0.25">
      <c r="B121" s="18"/>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row>
    <row r="122" spans="2:120" x14ac:dyDescent="0.25">
      <c r="B122" s="17"/>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row>
    <row r="123" spans="2:120" x14ac:dyDescent="0.25">
      <c r="B123" s="17"/>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row>
    <row r="124" spans="2:120" x14ac:dyDescent="0.25">
      <c r="B124" s="17"/>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row>
    <row r="125" spans="2:120" x14ac:dyDescent="0.25">
      <c r="B125" s="17"/>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row>
    <row r="126" spans="2:120" x14ac:dyDescent="0.25">
      <c r="B126" s="17"/>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row>
    <row r="127" spans="2:120" x14ac:dyDescent="0.25">
      <c r="B127" s="18"/>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row>
    <row r="128" spans="2:120" x14ac:dyDescent="0.25">
      <c r="B128" s="17"/>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row>
    <row r="129" spans="2:120" x14ac:dyDescent="0.25">
      <c r="B129" s="17"/>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row>
    <row r="130" spans="2:120" x14ac:dyDescent="0.25">
      <c r="B130" s="17"/>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row>
    <row r="131" spans="2:120" x14ac:dyDescent="0.25">
      <c r="B131" s="17"/>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row>
    <row r="132" spans="2:120" x14ac:dyDescent="0.25">
      <c r="B132" s="17"/>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row>
    <row r="133" spans="2:120" x14ac:dyDescent="0.25">
      <c r="B133" s="17"/>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row>
    <row r="134" spans="2:120" x14ac:dyDescent="0.25">
      <c r="B134" s="17"/>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row>
    <row r="135" spans="2:120" x14ac:dyDescent="0.25">
      <c r="B135" s="17"/>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row>
    <row r="136" spans="2:120" x14ac:dyDescent="0.25">
      <c r="B136" s="17"/>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row>
    <row r="137" spans="2:120" x14ac:dyDescent="0.25">
      <c r="B137" s="17"/>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row>
    <row r="138" spans="2:120" x14ac:dyDescent="0.25">
      <c r="B138" s="17"/>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row>
    <row r="139" spans="2:120" x14ac:dyDescent="0.25">
      <c r="B139" s="17"/>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row>
    <row r="140" spans="2:120" x14ac:dyDescent="0.25">
      <c r="B140" s="17"/>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row>
    <row r="141" spans="2:120" x14ac:dyDescent="0.25">
      <c r="B141" s="17"/>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row>
    <row r="142" spans="2:120" x14ac:dyDescent="0.25">
      <c r="B142" s="17"/>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row>
    <row r="143" spans="2:120" x14ac:dyDescent="0.25">
      <c r="B143" s="17"/>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row>
    <row r="144" spans="2:120" x14ac:dyDescent="0.25">
      <c r="B144" s="17"/>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row>
    <row r="145" spans="2:120" x14ac:dyDescent="0.25">
      <c r="B145" s="17"/>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row>
    <row r="146" spans="2:120" x14ac:dyDescent="0.25">
      <c r="B146" s="17"/>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row>
    <row r="147" spans="2:120" x14ac:dyDescent="0.25">
      <c r="B147" s="17"/>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row>
    <row r="148" spans="2:120" x14ac:dyDescent="0.25">
      <c r="B148" s="17"/>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row>
    <row r="149" spans="2:120" x14ac:dyDescent="0.25">
      <c r="B149" s="17"/>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row>
    <row r="150" spans="2:120" x14ac:dyDescent="0.25">
      <c r="B150" s="17"/>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row>
    <row r="151" spans="2:120" x14ac:dyDescent="0.25">
      <c r="B151" s="17"/>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row>
    <row r="152" spans="2:120" x14ac:dyDescent="0.25">
      <c r="B152" s="17"/>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row>
    <row r="153" spans="2:120" x14ac:dyDescent="0.25">
      <c r="B153" s="17"/>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row>
    <row r="154" spans="2:120" x14ac:dyDescent="0.25">
      <c r="B154" s="17"/>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row>
    <row r="155" spans="2:120" x14ac:dyDescent="0.25">
      <c r="B155" s="17"/>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row>
    <row r="156" spans="2:120" x14ac:dyDescent="0.25">
      <c r="B156" s="17"/>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row>
    <row r="157" spans="2:120" x14ac:dyDescent="0.25">
      <c r="B157" s="17"/>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row>
    <row r="158" spans="2:120" x14ac:dyDescent="0.25">
      <c r="B158" s="17"/>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row>
    <row r="159" spans="2:120" x14ac:dyDescent="0.25">
      <c r="B159" s="17"/>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row>
    <row r="160" spans="2:120" x14ac:dyDescent="0.25">
      <c r="B160" s="17"/>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row>
    <row r="161" spans="2:120" x14ac:dyDescent="0.25">
      <c r="B161" s="17"/>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row>
    <row r="162" spans="2:120" x14ac:dyDescent="0.25">
      <c r="B162" s="17"/>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row>
    <row r="163" spans="2:120" x14ac:dyDescent="0.25">
      <c r="B163" s="17"/>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row>
    <row r="164" spans="2:120" x14ac:dyDescent="0.25">
      <c r="B164" s="17"/>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row>
    <row r="165" spans="2:120" x14ac:dyDescent="0.25">
      <c r="B165" s="17"/>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row>
    <row r="166" spans="2:120" x14ac:dyDescent="0.25">
      <c r="B166" s="17"/>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row>
    <row r="167" spans="2:120" x14ac:dyDescent="0.25">
      <c r="B167" s="17"/>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row>
    <row r="168" spans="2:120" x14ac:dyDescent="0.25">
      <c r="B168" s="17"/>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row>
    <row r="169" spans="2:120" x14ac:dyDescent="0.25">
      <c r="B169" s="17"/>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row>
    <row r="170" spans="2:120" x14ac:dyDescent="0.25">
      <c r="B170" s="17"/>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row>
    <row r="171" spans="2:120" x14ac:dyDescent="0.25">
      <c r="B171" s="17"/>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row>
    <row r="172" spans="2:120" x14ac:dyDescent="0.25">
      <c r="B172" s="17"/>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row>
    <row r="173" spans="2:120" x14ac:dyDescent="0.25">
      <c r="B173" s="17"/>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row>
    <row r="174" spans="2:120" x14ac:dyDescent="0.25">
      <c r="B174" s="17"/>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row>
    <row r="175" spans="2:120" x14ac:dyDescent="0.25">
      <c r="B175" s="17"/>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row>
    <row r="176" spans="2:120" x14ac:dyDescent="0.25">
      <c r="B176" s="17"/>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row>
    <row r="177" spans="2:120" x14ac:dyDescent="0.25">
      <c r="B177" s="17"/>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row>
    <row r="178" spans="2:120" x14ac:dyDescent="0.25">
      <c r="B178" s="17"/>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row>
    <row r="179" spans="2:120" x14ac:dyDescent="0.25">
      <c r="B179" s="17"/>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row>
    <row r="180" spans="2:120" x14ac:dyDescent="0.25">
      <c r="B180" s="17"/>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row>
    <row r="181" spans="2:120" x14ac:dyDescent="0.25">
      <c r="B181" s="17"/>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row>
    <row r="182" spans="2:120" x14ac:dyDescent="0.25">
      <c r="B182" s="17"/>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row>
    <row r="183" spans="2:120" x14ac:dyDescent="0.25">
      <c r="B183" s="17"/>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row>
    <row r="184" spans="2:120" x14ac:dyDescent="0.25">
      <c r="B184" s="17"/>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row>
    <row r="185" spans="2:120" x14ac:dyDescent="0.25">
      <c r="B185" s="17"/>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row>
    <row r="186" spans="2:120" x14ac:dyDescent="0.25">
      <c r="B186" s="17"/>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row>
    <row r="187" spans="2:120" x14ac:dyDescent="0.25">
      <c r="B187" s="17"/>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row>
    <row r="188" spans="2:120" x14ac:dyDescent="0.25">
      <c r="B188" s="17"/>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row>
    <row r="189" spans="2:120" x14ac:dyDescent="0.25">
      <c r="B189" s="17"/>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row>
    <row r="190" spans="2:120" x14ac:dyDescent="0.25">
      <c r="B190" s="17"/>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row>
    <row r="191" spans="2:120" x14ac:dyDescent="0.25">
      <c r="B191" s="17"/>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row>
    <row r="192" spans="2:120" x14ac:dyDescent="0.25">
      <c r="B192" s="17"/>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row>
    <row r="193" spans="2:120" x14ac:dyDescent="0.25">
      <c r="B193" s="17"/>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row>
    <row r="194" spans="2:120" x14ac:dyDescent="0.25">
      <c r="B194" s="17"/>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row>
    <row r="195" spans="2:120" x14ac:dyDescent="0.25">
      <c r="B195" s="17"/>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row>
    <row r="196" spans="2:120" x14ac:dyDescent="0.25">
      <c r="B196" s="17"/>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row>
    <row r="197" spans="2:120" x14ac:dyDescent="0.25">
      <c r="B197" s="17"/>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row>
    <row r="198" spans="2:120" x14ac:dyDescent="0.25">
      <c r="B198" s="17"/>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row>
    <row r="199" spans="2:120" x14ac:dyDescent="0.25">
      <c r="B199" s="17"/>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row>
    <row r="200" spans="2:120" x14ac:dyDescent="0.25">
      <c r="B200" s="17"/>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row>
    <row r="201" spans="2:120" x14ac:dyDescent="0.25">
      <c r="B201" s="17"/>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row>
    <row r="202" spans="2:120" x14ac:dyDescent="0.25">
      <c r="B202" s="17"/>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row>
    <row r="203" spans="2:120" x14ac:dyDescent="0.25">
      <c r="B203" s="17"/>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row>
    <row r="204" spans="2:120" x14ac:dyDescent="0.25">
      <c r="B204" s="17"/>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row>
    <row r="205" spans="2:120" x14ac:dyDescent="0.25">
      <c r="B205" s="17"/>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row>
    <row r="206" spans="2:120" x14ac:dyDescent="0.25">
      <c r="B206" s="17"/>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row>
    <row r="207" spans="2:120" x14ac:dyDescent="0.25">
      <c r="B207" s="17"/>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row>
    <row r="208" spans="2:120" x14ac:dyDescent="0.25">
      <c r="B208" s="17"/>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row>
    <row r="209" spans="2:120" x14ac:dyDescent="0.25">
      <c r="B209" s="17"/>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row>
    <row r="210" spans="2:120" x14ac:dyDescent="0.25">
      <c r="B210" s="17"/>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row>
    <row r="211" spans="2:120" x14ac:dyDescent="0.25">
      <c r="B211" s="17"/>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row>
    <row r="212" spans="2:120" x14ac:dyDescent="0.25">
      <c r="B212" s="17"/>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row>
    <row r="213" spans="2:120" x14ac:dyDescent="0.25">
      <c r="B213" s="17"/>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row>
    <row r="214" spans="2:120" x14ac:dyDescent="0.25">
      <c r="B214" s="17"/>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row>
    <row r="215" spans="2:120" x14ac:dyDescent="0.25">
      <c r="B215" s="17"/>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row>
    <row r="216" spans="2:120" x14ac:dyDescent="0.25">
      <c r="B216" s="17"/>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row>
    <row r="217" spans="2:120" x14ac:dyDescent="0.25">
      <c r="B217" s="17"/>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row>
    <row r="218" spans="2:120" x14ac:dyDescent="0.25">
      <c r="B218" s="17"/>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row>
    <row r="219" spans="2:120" x14ac:dyDescent="0.25">
      <c r="B219" s="17"/>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row>
    <row r="220" spans="2:120" x14ac:dyDescent="0.25">
      <c r="B220" s="17"/>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row>
    <row r="221" spans="2:120" x14ac:dyDescent="0.25">
      <c r="B221" s="17"/>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row>
    <row r="222" spans="2:120" x14ac:dyDescent="0.25">
      <c r="B222" s="17"/>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row>
    <row r="223" spans="2:120" x14ac:dyDescent="0.25">
      <c r="B223" s="17"/>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row>
    <row r="224" spans="2:120" x14ac:dyDescent="0.25">
      <c r="B224" s="17"/>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row>
    <row r="225" spans="2:120" x14ac:dyDescent="0.25">
      <c r="B225" s="17"/>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row>
    <row r="226" spans="2:120" x14ac:dyDescent="0.25">
      <c r="B226" s="17"/>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row>
    <row r="227" spans="2:120" x14ac:dyDescent="0.25">
      <c r="B227" s="17"/>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row>
    <row r="228" spans="2:120" x14ac:dyDescent="0.25">
      <c r="B228" s="17"/>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row>
    <row r="229" spans="2:120" x14ac:dyDescent="0.25">
      <c r="B229" s="17"/>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row>
    <row r="230" spans="2:120" x14ac:dyDescent="0.25">
      <c r="B230" s="17"/>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row>
    <row r="231" spans="2:120" x14ac:dyDescent="0.25">
      <c r="B231" s="17"/>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row>
    <row r="232" spans="2:120" x14ac:dyDescent="0.25">
      <c r="B232" s="17"/>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row>
    <row r="233" spans="2:120" x14ac:dyDescent="0.25">
      <c r="B233" s="17"/>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row>
    <row r="234" spans="2:120" x14ac:dyDescent="0.25">
      <c r="B234" s="17"/>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row>
    <row r="235" spans="2:120" x14ac:dyDescent="0.25">
      <c r="B235" s="17"/>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row>
    <row r="236" spans="2:120" x14ac:dyDescent="0.25">
      <c r="B236" s="17"/>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row>
    <row r="237" spans="2:120" x14ac:dyDescent="0.25">
      <c r="B237" s="17"/>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row>
    <row r="238" spans="2:120" x14ac:dyDescent="0.25">
      <c r="B238" s="17"/>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row>
    <row r="239" spans="2:120" x14ac:dyDescent="0.25">
      <c r="B239" s="17"/>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row>
    <row r="240" spans="2:120" x14ac:dyDescent="0.25">
      <c r="B240" s="17"/>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row>
    <row r="241" spans="2:120" x14ac:dyDescent="0.25">
      <c r="B241" s="17"/>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row>
    <row r="242" spans="2:120" x14ac:dyDescent="0.25">
      <c r="B242" s="17"/>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row>
    <row r="243" spans="2:120" x14ac:dyDescent="0.25">
      <c r="B243" s="17"/>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row>
    <row r="244" spans="2:120" x14ac:dyDescent="0.25">
      <c r="B244" s="17"/>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row>
    <row r="245" spans="2:120" x14ac:dyDescent="0.25">
      <c r="B245" s="17"/>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row>
    <row r="246" spans="2:120" x14ac:dyDescent="0.25">
      <c r="B246" s="17"/>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row>
    <row r="247" spans="2:120" x14ac:dyDescent="0.25">
      <c r="B247" s="17"/>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row>
    <row r="248" spans="2:120" x14ac:dyDescent="0.25">
      <c r="B248" s="17"/>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row>
    <row r="249" spans="2:120" x14ac:dyDescent="0.25">
      <c r="B249" s="17"/>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row>
    <row r="250" spans="2:120" x14ac:dyDescent="0.25">
      <c r="B250" s="17"/>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row>
    <row r="251" spans="2:120" x14ac:dyDescent="0.25">
      <c r="B251" s="17"/>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row>
    <row r="252" spans="2:120" x14ac:dyDescent="0.25">
      <c r="B252" s="17"/>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row>
    <row r="253" spans="2:120" x14ac:dyDescent="0.25">
      <c r="B253" s="17"/>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row>
    <row r="254" spans="2:120" x14ac:dyDescent="0.25">
      <c r="B254" s="17"/>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row>
    <row r="255" spans="2:120" x14ac:dyDescent="0.25">
      <c r="B255" s="17"/>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row>
    <row r="256" spans="2:120" x14ac:dyDescent="0.25">
      <c r="B256" s="17"/>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row>
    <row r="257" spans="2:120" x14ac:dyDescent="0.25">
      <c r="B257" s="17"/>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row>
    <row r="258" spans="2:120" x14ac:dyDescent="0.25">
      <c r="B258" s="17"/>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row>
    <row r="259" spans="2:120" x14ac:dyDescent="0.25">
      <c r="B259" s="17"/>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row>
    <row r="260" spans="2:120" x14ac:dyDescent="0.25">
      <c r="B260" s="17"/>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row>
    <row r="261" spans="2:120" x14ac:dyDescent="0.25">
      <c r="B261" s="17"/>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row>
    <row r="262" spans="2:120" x14ac:dyDescent="0.25">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row>
    <row r="263" spans="2:120" x14ac:dyDescent="0.25">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row>
    <row r="264" spans="2:120" x14ac:dyDescent="0.25">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row>
    <row r="265" spans="2:120" x14ac:dyDescent="0.25">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row>
    <row r="266" spans="2:120" x14ac:dyDescent="0.25">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row>
    <row r="267" spans="2:120" x14ac:dyDescent="0.25">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row>
    <row r="268" spans="2:120" x14ac:dyDescent="0.2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row>
    <row r="269" spans="2:120" x14ac:dyDescent="0.25">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row>
    <row r="270" spans="2:120" x14ac:dyDescent="0.25">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row>
    <row r="271" spans="2:120" x14ac:dyDescent="0.25">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row>
    <row r="272" spans="2:120" x14ac:dyDescent="0.25">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row>
    <row r="273" spans="2:120" x14ac:dyDescent="0.25">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row>
    <row r="274" spans="2:120" x14ac:dyDescent="0.25">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row>
    <row r="275" spans="2:120" x14ac:dyDescent="0.25">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row>
    <row r="276" spans="2:120" x14ac:dyDescent="0.25">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row>
    <row r="277" spans="2:120" x14ac:dyDescent="0.25">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row>
    <row r="278" spans="2:120" x14ac:dyDescent="0.25">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row>
    <row r="279" spans="2:120" x14ac:dyDescent="0.25">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row>
    <row r="280" spans="2:120" x14ac:dyDescent="0.25">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row>
    <row r="281" spans="2:120" x14ac:dyDescent="0.25">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row>
    <row r="282" spans="2:120" x14ac:dyDescent="0.25">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row>
    <row r="283" spans="2:120" x14ac:dyDescent="0.25">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row>
    <row r="284" spans="2:120" x14ac:dyDescent="0.25">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row>
    <row r="285" spans="2:120" x14ac:dyDescent="0.25">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row>
    <row r="286" spans="2:120" x14ac:dyDescent="0.25">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row>
    <row r="287" spans="2:120" x14ac:dyDescent="0.25">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row>
    <row r="288" spans="2:120" x14ac:dyDescent="0.25">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row>
    <row r="289" spans="2:120" x14ac:dyDescent="0.25">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row>
    <row r="290" spans="2:120" x14ac:dyDescent="0.25">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row>
    <row r="291" spans="2:120" x14ac:dyDescent="0.25">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row>
    <row r="292" spans="2:120" x14ac:dyDescent="0.25">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row>
    <row r="293" spans="2:120" x14ac:dyDescent="0.25">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row>
    <row r="294" spans="2:120" x14ac:dyDescent="0.25">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row>
    <row r="295" spans="2:120" x14ac:dyDescent="0.25">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row>
    <row r="296" spans="2:120" x14ac:dyDescent="0.25">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row>
    <row r="297" spans="2:120" x14ac:dyDescent="0.25">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row>
    <row r="298" spans="2:120" x14ac:dyDescent="0.25">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row>
    <row r="299" spans="2:120" x14ac:dyDescent="0.25">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row>
    <row r="300" spans="2:120" x14ac:dyDescent="0.25">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row>
    <row r="301" spans="2:120" x14ac:dyDescent="0.25">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row>
    <row r="302" spans="2:120" x14ac:dyDescent="0.25">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row>
    <row r="303" spans="2:120" x14ac:dyDescent="0.25">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row>
    <row r="304" spans="2:120" x14ac:dyDescent="0.25">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row>
    <row r="305" spans="2:120" x14ac:dyDescent="0.25">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row>
    <row r="306" spans="2:120" x14ac:dyDescent="0.25">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row>
    <row r="307" spans="2:120" x14ac:dyDescent="0.25">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row>
    <row r="308" spans="2:120" x14ac:dyDescent="0.25">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row>
    <row r="309" spans="2:120" x14ac:dyDescent="0.25">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row>
    <row r="310" spans="2:120" x14ac:dyDescent="0.25">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row>
    <row r="311" spans="2:120" x14ac:dyDescent="0.25">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row>
    <row r="312" spans="2:120" x14ac:dyDescent="0.25">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row>
    <row r="313" spans="2:120" x14ac:dyDescent="0.25">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row>
    <row r="314" spans="2:120" x14ac:dyDescent="0.25">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row>
    <row r="315" spans="2:120" x14ac:dyDescent="0.25">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row>
    <row r="316" spans="2:120" x14ac:dyDescent="0.25">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row>
    <row r="317" spans="2:120" x14ac:dyDescent="0.25">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row>
    <row r="318" spans="2:120" x14ac:dyDescent="0.25">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row>
    <row r="319" spans="2:120" x14ac:dyDescent="0.25">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row>
    <row r="320" spans="2:120" x14ac:dyDescent="0.25">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row>
    <row r="321" spans="2:120" x14ac:dyDescent="0.25">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row>
    <row r="322" spans="2:120" x14ac:dyDescent="0.25">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row>
    <row r="323" spans="2:120" x14ac:dyDescent="0.25">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row>
    <row r="324" spans="2:120" x14ac:dyDescent="0.25">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row>
    <row r="325" spans="2:120" x14ac:dyDescent="0.25">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row>
    <row r="326" spans="2:120" x14ac:dyDescent="0.25">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row>
    <row r="327" spans="2:120" x14ac:dyDescent="0.25">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row>
    <row r="328" spans="2:120" x14ac:dyDescent="0.25">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row>
    <row r="329" spans="2:120" x14ac:dyDescent="0.25">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row>
    <row r="330" spans="2:120" x14ac:dyDescent="0.25">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row>
    <row r="331" spans="2:120" x14ac:dyDescent="0.25">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row>
    <row r="332" spans="2:120" x14ac:dyDescent="0.25">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row>
    <row r="333" spans="2:120" x14ac:dyDescent="0.25">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row>
    <row r="334" spans="2:120" x14ac:dyDescent="0.25">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row>
    <row r="335" spans="2:120" x14ac:dyDescent="0.25">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row>
    <row r="336" spans="2:120" x14ac:dyDescent="0.25">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row>
    <row r="337" spans="2:120" x14ac:dyDescent="0.25">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row>
    <row r="338" spans="2:120" x14ac:dyDescent="0.25">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row>
    <row r="339" spans="2:120" x14ac:dyDescent="0.25">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row>
    <row r="340" spans="2:120" x14ac:dyDescent="0.25">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row>
    <row r="341" spans="2:120" x14ac:dyDescent="0.25">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row>
    <row r="342" spans="2:120" x14ac:dyDescent="0.25">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row>
    <row r="343" spans="2:120" x14ac:dyDescent="0.25">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row>
    <row r="344" spans="2:120" x14ac:dyDescent="0.25">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row>
    <row r="345" spans="2:120" x14ac:dyDescent="0.25">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row>
    <row r="346" spans="2:120" x14ac:dyDescent="0.25">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row>
    <row r="347" spans="2:120" x14ac:dyDescent="0.25">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row>
    <row r="348" spans="2:120" x14ac:dyDescent="0.25">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row>
    <row r="349" spans="2:120" x14ac:dyDescent="0.25">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row>
    <row r="350" spans="2:120" x14ac:dyDescent="0.25">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row>
    <row r="351" spans="2:120" x14ac:dyDescent="0.25">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row>
    <row r="352" spans="2:120" x14ac:dyDescent="0.25">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row>
    <row r="353" spans="2:120" x14ac:dyDescent="0.25">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row>
    <row r="354" spans="2:120" x14ac:dyDescent="0.25">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row>
    <row r="355" spans="2:120" x14ac:dyDescent="0.25">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row>
    <row r="356" spans="2:120" x14ac:dyDescent="0.25">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row>
    <row r="357" spans="2:120" x14ac:dyDescent="0.25">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row>
    <row r="358" spans="2:120" x14ac:dyDescent="0.25">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row>
    <row r="359" spans="2:120" x14ac:dyDescent="0.25">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row>
    <row r="360" spans="2:120" x14ac:dyDescent="0.25">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row>
    <row r="361" spans="2:120" x14ac:dyDescent="0.25">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row>
    <row r="362" spans="2:120" x14ac:dyDescent="0.25">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row>
    <row r="363" spans="2:120" x14ac:dyDescent="0.25">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row>
    <row r="364" spans="2:120" x14ac:dyDescent="0.25">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row>
    <row r="365" spans="2:120" x14ac:dyDescent="0.25">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row>
    <row r="366" spans="2:120" x14ac:dyDescent="0.25">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row>
    <row r="367" spans="2:120" x14ac:dyDescent="0.25">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row>
    <row r="368" spans="2:120" x14ac:dyDescent="0.25">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row>
    <row r="369" spans="2:120" x14ac:dyDescent="0.25">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row>
    <row r="370" spans="2:120" x14ac:dyDescent="0.25">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row>
    <row r="371" spans="2:120" x14ac:dyDescent="0.25">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row>
    <row r="372" spans="2:120" x14ac:dyDescent="0.25">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row>
    <row r="373" spans="2:120" x14ac:dyDescent="0.25">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row>
    <row r="374" spans="2:120" x14ac:dyDescent="0.25">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row>
    <row r="375" spans="2:120" x14ac:dyDescent="0.25">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row>
    <row r="376" spans="2:120" x14ac:dyDescent="0.25">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row>
    <row r="377" spans="2:120" x14ac:dyDescent="0.25">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row>
    <row r="378" spans="2:120" x14ac:dyDescent="0.25">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row>
    <row r="379" spans="2:120" x14ac:dyDescent="0.25">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row>
    <row r="380" spans="2:120" x14ac:dyDescent="0.25">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row>
    <row r="381" spans="2:120" x14ac:dyDescent="0.25">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row>
    <row r="382" spans="2:120" x14ac:dyDescent="0.25">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row>
    <row r="383" spans="2:120" x14ac:dyDescent="0.25">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row>
    <row r="384" spans="2:120" x14ac:dyDescent="0.25">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row>
    <row r="385" spans="2:120" x14ac:dyDescent="0.25">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row>
    <row r="386" spans="2:120" x14ac:dyDescent="0.25">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row>
    <row r="387" spans="2:120" x14ac:dyDescent="0.25">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row>
    <row r="388" spans="2:120" x14ac:dyDescent="0.25">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row>
    <row r="389" spans="2:120" x14ac:dyDescent="0.25">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row>
    <row r="390" spans="2:120" x14ac:dyDescent="0.25">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row>
    <row r="391" spans="2:120" x14ac:dyDescent="0.25">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row>
    <row r="392" spans="2:120" x14ac:dyDescent="0.25">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row>
    <row r="393" spans="2:120" x14ac:dyDescent="0.25">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row>
    <row r="394" spans="2:120" x14ac:dyDescent="0.25">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row>
    <row r="395" spans="2:120" x14ac:dyDescent="0.25">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row>
    <row r="396" spans="2:120" x14ac:dyDescent="0.25">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row>
    <row r="397" spans="2:120" x14ac:dyDescent="0.25">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row>
    <row r="398" spans="2:120" x14ac:dyDescent="0.25">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row>
    <row r="399" spans="2:120" x14ac:dyDescent="0.25">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row>
    <row r="400" spans="2:120" x14ac:dyDescent="0.25">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row>
    <row r="401" spans="2:120" x14ac:dyDescent="0.25">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row>
    <row r="402" spans="2:120" x14ac:dyDescent="0.25">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row>
    <row r="403" spans="2:120" x14ac:dyDescent="0.25">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row>
    <row r="404" spans="2:120" x14ac:dyDescent="0.25">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row>
    <row r="405" spans="2:120" x14ac:dyDescent="0.25">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row>
    <row r="406" spans="2:120" x14ac:dyDescent="0.25">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row>
    <row r="407" spans="2:120" x14ac:dyDescent="0.25">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row>
    <row r="408" spans="2:120" x14ac:dyDescent="0.25">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row>
    <row r="409" spans="2:120" x14ac:dyDescent="0.25">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row>
    <row r="410" spans="2:120" x14ac:dyDescent="0.25">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row>
    <row r="411" spans="2:120" x14ac:dyDescent="0.25">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row>
    <row r="412" spans="2:120" x14ac:dyDescent="0.25">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row>
    <row r="413" spans="2:120" x14ac:dyDescent="0.25">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row>
    <row r="414" spans="2:120" x14ac:dyDescent="0.25">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row>
    <row r="415" spans="2:120" x14ac:dyDescent="0.25">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row>
    <row r="416" spans="2:120" x14ac:dyDescent="0.25">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row>
    <row r="417" spans="2:120" x14ac:dyDescent="0.25">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row>
    <row r="418" spans="2:120" x14ac:dyDescent="0.25">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row>
    <row r="419" spans="2:120" x14ac:dyDescent="0.25">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row>
    <row r="420" spans="2:120" x14ac:dyDescent="0.25">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row>
    <row r="421" spans="2:120" x14ac:dyDescent="0.25">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row>
    <row r="422" spans="2:120" x14ac:dyDescent="0.25">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row>
    <row r="423" spans="2:120" x14ac:dyDescent="0.25">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row>
    <row r="424" spans="2:120" x14ac:dyDescent="0.25">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row>
    <row r="425" spans="2:120" x14ac:dyDescent="0.25">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row>
    <row r="426" spans="2:120" x14ac:dyDescent="0.25">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row>
    <row r="427" spans="2:120" x14ac:dyDescent="0.25">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row>
    <row r="428" spans="2:120" x14ac:dyDescent="0.25">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row>
    <row r="429" spans="2:120" x14ac:dyDescent="0.25">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row>
    <row r="430" spans="2:120" x14ac:dyDescent="0.25">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row>
    <row r="431" spans="2:120" x14ac:dyDescent="0.25">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row>
    <row r="432" spans="2:120" x14ac:dyDescent="0.25">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row>
    <row r="433" spans="2:120" x14ac:dyDescent="0.25">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row>
    <row r="434" spans="2:120" x14ac:dyDescent="0.25">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row>
    <row r="435" spans="2:120" x14ac:dyDescent="0.25">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row>
    <row r="436" spans="2:120" x14ac:dyDescent="0.25">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row>
    <row r="437" spans="2:120" x14ac:dyDescent="0.25">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row>
    <row r="438" spans="2:120" x14ac:dyDescent="0.25">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row>
    <row r="439" spans="2:120" x14ac:dyDescent="0.25">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row>
    <row r="440" spans="2:120" x14ac:dyDescent="0.25">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row>
    <row r="441" spans="2:120" x14ac:dyDescent="0.25">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row>
    <row r="442" spans="2:120" x14ac:dyDescent="0.25">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row>
    <row r="443" spans="2:120" x14ac:dyDescent="0.25">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row>
    <row r="444" spans="2:120" x14ac:dyDescent="0.25">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row>
    <row r="445" spans="2:120" x14ac:dyDescent="0.25">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row>
    <row r="446" spans="2:120" x14ac:dyDescent="0.25">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row>
    <row r="447" spans="2:120" x14ac:dyDescent="0.25">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row>
    <row r="448" spans="2:120" x14ac:dyDescent="0.25">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row>
    <row r="449" spans="2:120" x14ac:dyDescent="0.25">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row>
    <row r="450" spans="2:120" x14ac:dyDescent="0.25">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row>
    <row r="451" spans="2:120" x14ac:dyDescent="0.25">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row>
    <row r="452" spans="2:120" x14ac:dyDescent="0.25">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row>
    <row r="453" spans="2:120" x14ac:dyDescent="0.25">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row>
    <row r="454" spans="2:120" x14ac:dyDescent="0.25">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row>
    <row r="455" spans="2:120" x14ac:dyDescent="0.25">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row>
    <row r="456" spans="2:120" x14ac:dyDescent="0.25">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row>
    <row r="457" spans="2:120" x14ac:dyDescent="0.25">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row>
    <row r="458" spans="2:120" x14ac:dyDescent="0.25">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row>
    <row r="459" spans="2:120" x14ac:dyDescent="0.25">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row>
    <row r="460" spans="2:120" x14ac:dyDescent="0.25">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row>
    <row r="461" spans="2:120" x14ac:dyDescent="0.25">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row>
    <row r="462" spans="2:120" x14ac:dyDescent="0.25">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row>
    <row r="463" spans="2:120" x14ac:dyDescent="0.25">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row>
    <row r="464" spans="2:120" x14ac:dyDescent="0.25">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row>
    <row r="465" spans="2:120" x14ac:dyDescent="0.25">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row>
    <row r="466" spans="2:120" x14ac:dyDescent="0.25">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row>
    <row r="467" spans="2:120" x14ac:dyDescent="0.25">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row>
    <row r="468" spans="2:120" x14ac:dyDescent="0.25">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row>
    <row r="469" spans="2:120" x14ac:dyDescent="0.25">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row>
    <row r="470" spans="2:120" x14ac:dyDescent="0.25">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row>
    <row r="471" spans="2:120" x14ac:dyDescent="0.25">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row>
    <row r="472" spans="2:120" x14ac:dyDescent="0.25">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row>
    <row r="473" spans="2:120" x14ac:dyDescent="0.25">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row>
    <row r="474" spans="2:120" x14ac:dyDescent="0.25">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row>
    <row r="475" spans="2:120" x14ac:dyDescent="0.25">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row>
    <row r="476" spans="2:120" x14ac:dyDescent="0.25">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row>
    <row r="477" spans="2:120" x14ac:dyDescent="0.25">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row>
    <row r="478" spans="2:120" x14ac:dyDescent="0.25">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row>
    <row r="479" spans="2:120" x14ac:dyDescent="0.25">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row>
    <row r="480" spans="2:120" x14ac:dyDescent="0.25">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row>
    <row r="481" spans="2:120" x14ac:dyDescent="0.25">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row>
    <row r="482" spans="2:120" x14ac:dyDescent="0.25">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row>
    <row r="483" spans="2:120" x14ac:dyDescent="0.25">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row>
    <row r="484" spans="2:120" x14ac:dyDescent="0.25">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row>
    <row r="485" spans="2:120" x14ac:dyDescent="0.25">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row>
    <row r="486" spans="2:120" x14ac:dyDescent="0.25">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row>
    <row r="487" spans="2:120" x14ac:dyDescent="0.25">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row>
    <row r="488" spans="2:120" x14ac:dyDescent="0.25">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row>
    <row r="489" spans="2:120" x14ac:dyDescent="0.25">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row>
    <row r="490" spans="2:120" x14ac:dyDescent="0.25">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row>
    <row r="491" spans="2:120" x14ac:dyDescent="0.25">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row>
    <row r="492" spans="2:120" x14ac:dyDescent="0.25">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row>
    <row r="493" spans="2:120" x14ac:dyDescent="0.25">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row>
    <row r="494" spans="2:120" x14ac:dyDescent="0.25">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row>
    <row r="495" spans="2:120" x14ac:dyDescent="0.25">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row>
    <row r="496" spans="2:120" x14ac:dyDescent="0.25">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row>
    <row r="497" spans="2:120" x14ac:dyDescent="0.25">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row>
    <row r="498" spans="2:120" x14ac:dyDescent="0.25">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c r="DK498" s="14"/>
      <c r="DL498" s="14"/>
      <c r="DM498" s="14"/>
      <c r="DN498" s="14"/>
      <c r="DO498" s="14"/>
      <c r="DP498" s="14"/>
    </row>
    <row r="499" spans="2:120" x14ac:dyDescent="0.25">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c r="DK499" s="14"/>
      <c r="DL499" s="14"/>
      <c r="DM499" s="14"/>
      <c r="DN499" s="14"/>
      <c r="DO499" s="14"/>
      <c r="DP499" s="14"/>
    </row>
    <row r="500" spans="2:120" x14ac:dyDescent="0.25">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c r="DK500" s="14"/>
      <c r="DL500" s="14"/>
      <c r="DM500" s="14"/>
      <c r="DN500" s="14"/>
      <c r="DO500" s="14"/>
      <c r="DP500" s="14"/>
    </row>
    <row r="501" spans="2:120" x14ac:dyDescent="0.25">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row>
    <row r="502" spans="2:120" x14ac:dyDescent="0.25">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row>
    <row r="503" spans="2:120" x14ac:dyDescent="0.25">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row>
    <row r="504" spans="2:120" x14ac:dyDescent="0.25">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row>
    <row r="505" spans="2:120" x14ac:dyDescent="0.25">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row>
    <row r="506" spans="2:120" x14ac:dyDescent="0.25">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row>
    <row r="507" spans="2:120" x14ac:dyDescent="0.25">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row>
    <row r="508" spans="2:120" x14ac:dyDescent="0.25">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row>
    <row r="509" spans="2:120" x14ac:dyDescent="0.25">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row>
    <row r="510" spans="2:120" x14ac:dyDescent="0.25">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row>
    <row r="511" spans="2:120" x14ac:dyDescent="0.25">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row>
    <row r="512" spans="2:120" x14ac:dyDescent="0.25">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row>
    <row r="513" spans="2:120" x14ac:dyDescent="0.25">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row>
    <row r="514" spans="2:120" x14ac:dyDescent="0.25">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row>
    <row r="515" spans="2:120" x14ac:dyDescent="0.25">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row>
    <row r="516" spans="2:120" x14ac:dyDescent="0.25">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row>
    <row r="517" spans="2:120" x14ac:dyDescent="0.25">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row>
    <row r="518" spans="2:120" x14ac:dyDescent="0.25">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row>
    <row r="519" spans="2:120" x14ac:dyDescent="0.25">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row>
    <row r="520" spans="2:120" x14ac:dyDescent="0.25">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row>
    <row r="521" spans="2:120" x14ac:dyDescent="0.25">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row>
    <row r="522" spans="2:120" x14ac:dyDescent="0.25">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row>
    <row r="523" spans="2:120" x14ac:dyDescent="0.25">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row>
    <row r="524" spans="2:120" x14ac:dyDescent="0.25">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row>
    <row r="525" spans="2:120" x14ac:dyDescent="0.25">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row>
    <row r="526" spans="2:120" x14ac:dyDescent="0.25">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row>
    <row r="527" spans="2:120" x14ac:dyDescent="0.25">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row>
    <row r="528" spans="2:120" x14ac:dyDescent="0.25">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row>
    <row r="529" spans="2:120" x14ac:dyDescent="0.25">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row>
    <row r="530" spans="2:120" x14ac:dyDescent="0.25">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row>
    <row r="531" spans="2:120" x14ac:dyDescent="0.25">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row>
    <row r="532" spans="2:120" x14ac:dyDescent="0.25">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row>
    <row r="533" spans="2:120" x14ac:dyDescent="0.25">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row>
    <row r="534" spans="2:120" x14ac:dyDescent="0.25">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row>
    <row r="535" spans="2:120" x14ac:dyDescent="0.25">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row>
    <row r="536" spans="2:120" x14ac:dyDescent="0.25">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row>
    <row r="537" spans="2:120" x14ac:dyDescent="0.25">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row>
    <row r="538" spans="2:120" x14ac:dyDescent="0.25">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row>
    <row r="539" spans="2:120" x14ac:dyDescent="0.25">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row>
    <row r="540" spans="2:120" x14ac:dyDescent="0.25">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row>
    <row r="541" spans="2:120" x14ac:dyDescent="0.25">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row>
    <row r="542" spans="2:120" x14ac:dyDescent="0.25">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row>
    <row r="543" spans="2:120" x14ac:dyDescent="0.25">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row>
    <row r="544" spans="2:120" x14ac:dyDescent="0.25">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row>
    <row r="545" spans="2:120" x14ac:dyDescent="0.25">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row>
    <row r="546" spans="2:120" x14ac:dyDescent="0.25">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row>
    <row r="547" spans="2:120" x14ac:dyDescent="0.25">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row>
    <row r="548" spans="2:120" x14ac:dyDescent="0.25">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row>
    <row r="549" spans="2:120" x14ac:dyDescent="0.25">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row>
    <row r="550" spans="2:120" x14ac:dyDescent="0.25">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row>
    <row r="551" spans="2:120" x14ac:dyDescent="0.25">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row>
    <row r="552" spans="2:120" x14ac:dyDescent="0.25">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row>
    <row r="553" spans="2:120" x14ac:dyDescent="0.25">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row>
    <row r="554" spans="2:120" x14ac:dyDescent="0.25">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row>
    <row r="555" spans="2:120" x14ac:dyDescent="0.25">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row>
    <row r="556" spans="2:120" x14ac:dyDescent="0.25">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row>
    <row r="557" spans="2:120" x14ac:dyDescent="0.25">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row>
    <row r="558" spans="2:120" x14ac:dyDescent="0.25">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row>
    <row r="559" spans="2:120" x14ac:dyDescent="0.25">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c r="DK559" s="14"/>
      <c r="DL559" s="14"/>
      <c r="DM559" s="14"/>
      <c r="DN559" s="14"/>
      <c r="DO559" s="14"/>
      <c r="DP559" s="14"/>
    </row>
    <row r="560" spans="2:120" x14ac:dyDescent="0.25">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row>
    <row r="561" spans="2:120" x14ac:dyDescent="0.25">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row>
    <row r="562" spans="2:120" x14ac:dyDescent="0.25">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row>
    <row r="563" spans="2:120" x14ac:dyDescent="0.25">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row>
    <row r="564" spans="2:120" x14ac:dyDescent="0.25">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row>
    <row r="565" spans="2:120" x14ac:dyDescent="0.25">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row>
    <row r="566" spans="2:120" x14ac:dyDescent="0.25">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row>
    <row r="567" spans="2:120" x14ac:dyDescent="0.25">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row>
    <row r="568" spans="2:120" x14ac:dyDescent="0.25">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row>
    <row r="569" spans="2:120" x14ac:dyDescent="0.25">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row>
    <row r="570" spans="2:120" x14ac:dyDescent="0.25">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row>
    <row r="571" spans="2:120" x14ac:dyDescent="0.25">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row>
    <row r="572" spans="2:120" x14ac:dyDescent="0.25">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c r="DK572" s="14"/>
      <c r="DL572" s="14"/>
      <c r="DM572" s="14"/>
      <c r="DN572" s="14"/>
      <c r="DO572" s="14"/>
      <c r="DP572" s="14"/>
    </row>
    <row r="573" spans="2:120" x14ac:dyDescent="0.25">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row>
    <row r="574" spans="2:120" x14ac:dyDescent="0.25">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row>
    <row r="575" spans="2:120" x14ac:dyDescent="0.25">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c r="DK575" s="14"/>
      <c r="DL575" s="14"/>
      <c r="DM575" s="14"/>
      <c r="DN575" s="14"/>
      <c r="DO575" s="14"/>
      <c r="DP575" s="14"/>
    </row>
    <row r="576" spans="2:120" x14ac:dyDescent="0.25">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row>
    <row r="577" spans="2:120" x14ac:dyDescent="0.25">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row>
    <row r="578" spans="2:120" x14ac:dyDescent="0.25">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row>
    <row r="579" spans="2:120" x14ac:dyDescent="0.25">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c r="DK579" s="14"/>
      <c r="DL579" s="14"/>
      <c r="DM579" s="14"/>
      <c r="DN579" s="14"/>
      <c r="DO579" s="14"/>
      <c r="DP579" s="14"/>
    </row>
    <row r="580" spans="2:120" x14ac:dyDescent="0.25">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c r="DK580" s="14"/>
      <c r="DL580" s="14"/>
      <c r="DM580" s="14"/>
      <c r="DN580" s="14"/>
      <c r="DO580" s="14"/>
      <c r="DP580" s="14"/>
    </row>
    <row r="581" spans="2:120" x14ac:dyDescent="0.25">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c r="DK581" s="14"/>
      <c r="DL581" s="14"/>
      <c r="DM581" s="14"/>
      <c r="DN581" s="14"/>
      <c r="DO581" s="14"/>
      <c r="DP581" s="14"/>
    </row>
    <row r="582" spans="2:120" x14ac:dyDescent="0.25">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row>
    <row r="583" spans="2:120" x14ac:dyDescent="0.25">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c r="DK583" s="14"/>
      <c r="DL583" s="14"/>
      <c r="DM583" s="14"/>
      <c r="DN583" s="14"/>
      <c r="DO583" s="14"/>
      <c r="DP583" s="14"/>
    </row>
    <row r="584" spans="2:120" x14ac:dyDescent="0.25">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c r="DK584" s="14"/>
      <c r="DL584" s="14"/>
      <c r="DM584" s="14"/>
      <c r="DN584" s="14"/>
      <c r="DO584" s="14"/>
      <c r="DP584" s="14"/>
    </row>
    <row r="585" spans="2:120" x14ac:dyDescent="0.25">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c r="DK585" s="14"/>
      <c r="DL585" s="14"/>
      <c r="DM585" s="14"/>
      <c r="DN585" s="14"/>
      <c r="DO585" s="14"/>
      <c r="DP585" s="14"/>
    </row>
    <row r="586" spans="2:120" x14ac:dyDescent="0.25">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c r="DK586" s="14"/>
      <c r="DL586" s="14"/>
      <c r="DM586" s="14"/>
      <c r="DN586" s="14"/>
      <c r="DO586" s="14"/>
      <c r="DP586" s="14"/>
    </row>
    <row r="587" spans="2:120" x14ac:dyDescent="0.25">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row>
    <row r="588" spans="2:120" x14ac:dyDescent="0.25">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row>
    <row r="589" spans="2:120" x14ac:dyDescent="0.25">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c r="DK589" s="14"/>
      <c r="DL589" s="14"/>
      <c r="DM589" s="14"/>
      <c r="DN589" s="14"/>
      <c r="DO589" s="14"/>
      <c r="DP589" s="14"/>
    </row>
    <row r="590" spans="2:120" x14ac:dyDescent="0.25">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c r="DK590" s="14"/>
      <c r="DL590" s="14"/>
      <c r="DM590" s="14"/>
      <c r="DN590" s="14"/>
      <c r="DO590" s="14"/>
      <c r="DP590" s="14"/>
    </row>
    <row r="591" spans="2:120" x14ac:dyDescent="0.25">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c r="DK591" s="14"/>
      <c r="DL591" s="14"/>
      <c r="DM591" s="14"/>
      <c r="DN591" s="14"/>
      <c r="DO591" s="14"/>
      <c r="DP591" s="14"/>
    </row>
    <row r="592" spans="2:120" x14ac:dyDescent="0.25">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c r="DK592" s="14"/>
      <c r="DL592" s="14"/>
      <c r="DM592" s="14"/>
      <c r="DN592" s="14"/>
      <c r="DO592" s="14"/>
      <c r="DP592" s="14"/>
    </row>
    <row r="593" spans="3:120" x14ac:dyDescent="0.25">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row>
    <row r="594" spans="3:120" x14ac:dyDescent="0.25">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c r="DK594" s="14"/>
      <c r="DL594" s="14"/>
      <c r="DM594" s="14"/>
      <c r="DN594" s="14"/>
      <c r="DO594" s="14"/>
      <c r="DP594" s="14"/>
    </row>
    <row r="595" spans="3:120" x14ac:dyDescent="0.25">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c r="DK595" s="14"/>
      <c r="DL595" s="14"/>
      <c r="DM595" s="14"/>
      <c r="DN595" s="14"/>
      <c r="DO595" s="14"/>
      <c r="DP595" s="14"/>
    </row>
    <row r="596" spans="3:120" x14ac:dyDescent="0.25">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c r="DK596" s="14"/>
      <c r="DL596" s="14"/>
      <c r="DM596" s="14"/>
      <c r="DN596" s="14"/>
      <c r="DO596" s="14"/>
      <c r="DP596" s="14"/>
    </row>
    <row r="597" spans="3:120" x14ac:dyDescent="0.25">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row>
    <row r="598" spans="3:120" x14ac:dyDescent="0.25">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row>
    <row r="599" spans="3:120" x14ac:dyDescent="0.25">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c r="DK599" s="14"/>
      <c r="DL599" s="14"/>
      <c r="DM599" s="14"/>
      <c r="DN599" s="14"/>
      <c r="DO599" s="14"/>
      <c r="DP599" s="14"/>
    </row>
    <row r="600" spans="3:120" x14ac:dyDescent="0.25">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c r="DK600" s="14"/>
      <c r="DL600" s="14"/>
      <c r="DM600" s="14"/>
      <c r="DN600" s="14"/>
      <c r="DO600" s="14"/>
      <c r="DP600" s="14"/>
    </row>
    <row r="601" spans="3:120" x14ac:dyDescent="0.25">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row>
    <row r="602" spans="3:120" x14ac:dyDescent="0.25">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c r="DK602" s="14"/>
      <c r="DL602" s="14"/>
      <c r="DM602" s="14"/>
      <c r="DN602" s="14"/>
      <c r="DO602" s="14"/>
      <c r="DP602" s="14"/>
    </row>
    <row r="603" spans="3:120" x14ac:dyDescent="0.25">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c r="DK603" s="14"/>
      <c r="DL603" s="14"/>
      <c r="DM603" s="14"/>
      <c r="DN603" s="14"/>
      <c r="DO603" s="14"/>
      <c r="DP603" s="14"/>
    </row>
    <row r="604" spans="3:120" x14ac:dyDescent="0.25">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c r="DK604" s="14"/>
      <c r="DL604" s="14"/>
      <c r="DM604" s="14"/>
      <c r="DN604" s="14"/>
      <c r="DO604" s="14"/>
      <c r="DP604" s="14"/>
    </row>
    <row r="605" spans="3:120" x14ac:dyDescent="0.25">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row>
    <row r="606" spans="3:120" x14ac:dyDescent="0.25">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c r="DK606" s="14"/>
      <c r="DL606" s="14"/>
      <c r="DM606" s="14"/>
      <c r="DN606" s="14"/>
      <c r="DO606" s="14"/>
      <c r="DP606" s="14"/>
    </row>
    <row r="607" spans="3:120" x14ac:dyDescent="0.25">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c r="DK607" s="14"/>
      <c r="DL607" s="14"/>
      <c r="DM607" s="14"/>
      <c r="DN607" s="14"/>
      <c r="DO607" s="14"/>
      <c r="DP607" s="14"/>
    </row>
    <row r="608" spans="3:120" x14ac:dyDescent="0.25">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c r="DK608" s="14"/>
      <c r="DL608" s="14"/>
      <c r="DM608" s="14"/>
      <c r="DN608" s="14"/>
      <c r="DO608" s="14"/>
      <c r="DP608" s="14"/>
    </row>
    <row r="609" spans="3:120" x14ac:dyDescent="0.25">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c r="DK609" s="14"/>
      <c r="DL609" s="14"/>
      <c r="DM609" s="14"/>
      <c r="DN609" s="14"/>
      <c r="DO609" s="14"/>
      <c r="DP609" s="14"/>
    </row>
    <row r="610" spans="3:120" x14ac:dyDescent="0.25">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c r="DK610" s="14"/>
      <c r="DL610" s="14"/>
      <c r="DM610" s="14"/>
      <c r="DN610" s="14"/>
      <c r="DO610" s="14"/>
      <c r="DP610" s="14"/>
    </row>
    <row r="611" spans="3:120" x14ac:dyDescent="0.25">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row>
    <row r="612" spans="3:120" x14ac:dyDescent="0.25">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row>
    <row r="613" spans="3:120" x14ac:dyDescent="0.25">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c r="DK613" s="14"/>
      <c r="DL613" s="14"/>
      <c r="DM613" s="14"/>
      <c r="DN613" s="14"/>
      <c r="DO613" s="14"/>
      <c r="DP613" s="14"/>
    </row>
    <row r="614" spans="3:120" x14ac:dyDescent="0.25">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c r="DK614" s="14"/>
      <c r="DL614" s="14"/>
      <c r="DM614" s="14"/>
      <c r="DN614" s="14"/>
      <c r="DO614" s="14"/>
      <c r="DP614" s="14"/>
    </row>
    <row r="615" spans="3:120" x14ac:dyDescent="0.25">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row>
    <row r="616" spans="3:120" x14ac:dyDescent="0.25">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c r="DK616" s="14"/>
      <c r="DL616" s="14"/>
      <c r="DM616" s="14"/>
      <c r="DN616" s="14"/>
      <c r="DO616" s="14"/>
      <c r="DP616" s="14"/>
    </row>
    <row r="617" spans="3:120" x14ac:dyDescent="0.25">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row>
    <row r="618" spans="3:120" x14ac:dyDescent="0.25">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row>
    <row r="619" spans="3:120" x14ac:dyDescent="0.25">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row>
    <row r="620" spans="3:120" x14ac:dyDescent="0.25">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row>
    <row r="621" spans="3:120" x14ac:dyDescent="0.25">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row>
    <row r="622" spans="3:120" x14ac:dyDescent="0.25">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c r="DK622" s="14"/>
      <c r="DL622" s="14"/>
      <c r="DM622" s="14"/>
      <c r="DN622" s="14"/>
      <c r="DO622" s="14"/>
      <c r="DP622" s="14"/>
    </row>
    <row r="623" spans="3:120" x14ac:dyDescent="0.25">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c r="DK623" s="14"/>
      <c r="DL623" s="14"/>
      <c r="DM623" s="14"/>
      <c r="DN623" s="14"/>
      <c r="DO623" s="14"/>
      <c r="DP623" s="14"/>
    </row>
    <row r="624" spans="3:120" x14ac:dyDescent="0.25">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row>
    <row r="625" spans="3:120" x14ac:dyDescent="0.25">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row>
    <row r="626" spans="3:120" x14ac:dyDescent="0.25">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row>
    <row r="627" spans="3:120" x14ac:dyDescent="0.25">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row>
    <row r="628" spans="3:120" x14ac:dyDescent="0.25">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row>
    <row r="629" spans="3:120" x14ac:dyDescent="0.25">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row>
    <row r="630" spans="3:120" x14ac:dyDescent="0.25">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row>
    <row r="631" spans="3:120" x14ac:dyDescent="0.25">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row>
    <row r="632" spans="3:120" x14ac:dyDescent="0.25">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row>
    <row r="633" spans="3:120" x14ac:dyDescent="0.25">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c r="DK633" s="14"/>
      <c r="DL633" s="14"/>
      <c r="DM633" s="14"/>
      <c r="DN633" s="14"/>
      <c r="DO633" s="14"/>
      <c r="DP633" s="14"/>
    </row>
    <row r="634" spans="3:120" x14ac:dyDescent="0.25">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row>
    <row r="635" spans="3:120" x14ac:dyDescent="0.25">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c r="DK635" s="14"/>
      <c r="DL635" s="14"/>
      <c r="DM635" s="14"/>
      <c r="DN635" s="14"/>
      <c r="DO635" s="14"/>
      <c r="DP635" s="14"/>
    </row>
    <row r="636" spans="3:120" x14ac:dyDescent="0.25">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c r="DK636" s="14"/>
      <c r="DL636" s="14"/>
      <c r="DM636" s="14"/>
      <c r="DN636" s="14"/>
      <c r="DO636" s="14"/>
      <c r="DP636" s="14"/>
    </row>
    <row r="637" spans="3:120" x14ac:dyDescent="0.25">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row>
    <row r="638" spans="3:120" x14ac:dyDescent="0.25">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row>
    <row r="639" spans="3:120" x14ac:dyDescent="0.25">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c r="DK639" s="14"/>
      <c r="DL639" s="14"/>
      <c r="DM639" s="14"/>
      <c r="DN639" s="14"/>
      <c r="DO639" s="14"/>
      <c r="DP639" s="14"/>
    </row>
    <row r="640" spans="3:120" x14ac:dyDescent="0.25">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row>
    <row r="641" spans="3:120" x14ac:dyDescent="0.25">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c r="DK641" s="14"/>
      <c r="DL641" s="14"/>
      <c r="DM641" s="14"/>
      <c r="DN641" s="14"/>
      <c r="DO641" s="14"/>
      <c r="DP641" s="14"/>
    </row>
    <row r="642" spans="3:120" x14ac:dyDescent="0.25">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row>
    <row r="643" spans="3:120" x14ac:dyDescent="0.25">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c r="DK643" s="14"/>
      <c r="DL643" s="14"/>
      <c r="DM643" s="14"/>
      <c r="DN643" s="14"/>
      <c r="DO643" s="14"/>
      <c r="DP643" s="14"/>
    </row>
    <row r="644" spans="3:120" x14ac:dyDescent="0.25">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c r="DK644" s="14"/>
      <c r="DL644" s="14"/>
      <c r="DM644" s="14"/>
      <c r="DN644" s="14"/>
      <c r="DO644" s="14"/>
      <c r="DP644" s="14"/>
    </row>
    <row r="645" spans="3:120" x14ac:dyDescent="0.25">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c r="DK645" s="14"/>
      <c r="DL645" s="14"/>
      <c r="DM645" s="14"/>
      <c r="DN645" s="14"/>
      <c r="DO645" s="14"/>
      <c r="DP645" s="14"/>
    </row>
    <row r="646" spans="3:120" x14ac:dyDescent="0.25">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row>
    <row r="647" spans="3:120" x14ac:dyDescent="0.25">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c r="DK647" s="14"/>
      <c r="DL647" s="14"/>
      <c r="DM647" s="14"/>
      <c r="DN647" s="14"/>
      <c r="DO647" s="14"/>
      <c r="DP647" s="14"/>
    </row>
    <row r="648" spans="3:120" x14ac:dyDescent="0.25">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row>
    <row r="649" spans="3:120" x14ac:dyDescent="0.25">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c r="DK649" s="14"/>
      <c r="DL649" s="14"/>
      <c r="DM649" s="14"/>
      <c r="DN649" s="14"/>
      <c r="DO649" s="14"/>
      <c r="DP649" s="14"/>
    </row>
    <row r="650" spans="3:120" x14ac:dyDescent="0.25">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c r="DK650" s="14"/>
      <c r="DL650" s="14"/>
      <c r="DM650" s="14"/>
      <c r="DN650" s="14"/>
      <c r="DO650" s="14"/>
      <c r="DP650" s="14"/>
    </row>
    <row r="651" spans="3:120" x14ac:dyDescent="0.25">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row>
    <row r="652" spans="3:120" x14ac:dyDescent="0.25">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c r="DK652" s="14"/>
      <c r="DL652" s="14"/>
      <c r="DM652" s="14"/>
      <c r="DN652" s="14"/>
      <c r="DO652" s="14"/>
      <c r="DP652" s="14"/>
    </row>
    <row r="653" spans="3:120" x14ac:dyDescent="0.25">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c r="DK653" s="14"/>
      <c r="DL653" s="14"/>
      <c r="DM653" s="14"/>
      <c r="DN653" s="14"/>
      <c r="DO653" s="14"/>
      <c r="DP653" s="14"/>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0"/>
  <sheetViews>
    <sheetView topLeftCell="A23" workbookViewId="0">
      <selection activeCell="E51" sqref="E51"/>
    </sheetView>
  </sheetViews>
  <sheetFormatPr defaultRowHeight="13.2" x14ac:dyDescent="0.25"/>
  <cols>
    <col min="1" max="1" width="17.6640625" customWidth="1"/>
    <col min="15" max="15" width="14.6640625" customWidth="1"/>
  </cols>
  <sheetData>
    <row r="2" spans="1:15" hidden="1" x14ac:dyDescent="0.25">
      <c r="A2" s="13" t="s">
        <v>233</v>
      </c>
    </row>
    <row r="3" spans="1:15" hidden="1" x14ac:dyDescent="0.25">
      <c r="A3" s="13" t="s">
        <v>335</v>
      </c>
    </row>
    <row r="4" spans="1:15" hidden="1" x14ac:dyDescent="0.25">
      <c r="A4" s="13"/>
    </row>
    <row r="5" spans="1:15" hidden="1" x14ac:dyDescent="0.25">
      <c r="A5" s="35">
        <v>1019353</v>
      </c>
    </row>
    <row r="6" spans="1:15" hidden="1" x14ac:dyDescent="0.25">
      <c r="B6" s="15" t="s">
        <v>348</v>
      </c>
      <c r="C6" s="15" t="s">
        <v>338</v>
      </c>
      <c r="D6" s="15" t="s">
        <v>339</v>
      </c>
      <c r="E6" s="15" t="s">
        <v>340</v>
      </c>
      <c r="F6" s="15" t="s">
        <v>341</v>
      </c>
      <c r="G6" s="15" t="s">
        <v>342</v>
      </c>
      <c r="H6" s="15" t="s">
        <v>343</v>
      </c>
      <c r="I6" s="15" t="s">
        <v>344</v>
      </c>
      <c r="J6" s="15" t="s">
        <v>346</v>
      </c>
      <c r="K6" s="15" t="s">
        <v>345</v>
      </c>
      <c r="L6" s="15" t="s">
        <v>347</v>
      </c>
      <c r="M6" s="15" t="s">
        <v>349</v>
      </c>
      <c r="N6" s="15" t="s">
        <v>350</v>
      </c>
      <c r="O6" s="15" t="s">
        <v>351</v>
      </c>
    </row>
    <row r="7" spans="1:15" hidden="1" x14ac:dyDescent="0.25">
      <c r="A7" s="15" t="s">
        <v>336</v>
      </c>
      <c r="N7" s="34">
        <f>SUM(B7:M7)</f>
        <v>0</v>
      </c>
      <c r="O7" s="34" t="e">
        <f>AVERAGE(B7:M7)*12</f>
        <v>#DIV/0!</v>
      </c>
    </row>
    <row r="8" spans="1:15" hidden="1" x14ac:dyDescent="0.25">
      <c r="A8" s="15" t="s">
        <v>337</v>
      </c>
      <c r="N8" s="34">
        <f>SUM(B8:M8)</f>
        <v>0</v>
      </c>
      <c r="O8" s="34" t="e">
        <f>AVERAGE(B8:M8)*12</f>
        <v>#DIV/0!</v>
      </c>
    </row>
    <row r="9" spans="1:15" hidden="1" x14ac:dyDescent="0.25"/>
    <row r="10" spans="1:15" hidden="1" x14ac:dyDescent="0.25">
      <c r="A10" s="15" t="s">
        <v>352</v>
      </c>
      <c r="B10" t="e">
        <f>SUM(1019353/O7)</f>
        <v>#DIV/0!</v>
      </c>
    </row>
    <row r="11" spans="1:15" hidden="1" x14ac:dyDescent="0.25">
      <c r="A11" s="15" t="s">
        <v>337</v>
      </c>
      <c r="B11" t="e">
        <f>SUM(1019353/O8)</f>
        <v>#DIV/0!</v>
      </c>
    </row>
    <row r="12" spans="1:15" hidden="1" x14ac:dyDescent="0.25"/>
    <row r="13" spans="1:15" hidden="1" x14ac:dyDescent="0.25"/>
    <row r="14" spans="1:15" x14ac:dyDescent="0.25">
      <c r="A14" s="13" t="s">
        <v>360</v>
      </c>
    </row>
    <row r="16" spans="1:15" x14ac:dyDescent="0.25">
      <c r="A16" t="s">
        <v>361</v>
      </c>
      <c r="C16" s="15" t="s">
        <v>530</v>
      </c>
    </row>
    <row r="17" spans="1:15" x14ac:dyDescent="0.25">
      <c r="A17" s="34">
        <v>61670</v>
      </c>
    </row>
    <row r="18" spans="1:15" x14ac:dyDescent="0.25">
      <c r="A18" s="35">
        <v>1270891</v>
      </c>
    </row>
    <row r="19" spans="1:15" x14ac:dyDescent="0.25">
      <c r="A19" s="15" t="s">
        <v>362</v>
      </c>
      <c r="B19">
        <v>12366</v>
      </c>
      <c r="C19">
        <v>9690</v>
      </c>
      <c r="D19">
        <v>9638</v>
      </c>
      <c r="E19">
        <v>12059</v>
      </c>
      <c r="F19">
        <v>10015</v>
      </c>
      <c r="G19">
        <v>8300</v>
      </c>
      <c r="N19">
        <f>AVERAGE(B19:M19)*12</f>
        <v>124136</v>
      </c>
    </row>
    <row r="20" spans="1:15" x14ac:dyDescent="0.25">
      <c r="A20" s="15" t="s">
        <v>363</v>
      </c>
      <c r="B20">
        <v>15084</v>
      </c>
      <c r="C20">
        <v>12551</v>
      </c>
      <c r="D20">
        <v>12258</v>
      </c>
      <c r="E20">
        <v>14831</v>
      </c>
      <c r="F20">
        <v>12254</v>
      </c>
      <c r="G20">
        <v>10291</v>
      </c>
      <c r="N20">
        <f>AVERAGE(B20:M20)*12</f>
        <v>154538</v>
      </c>
    </row>
    <row r="22" spans="1:15" x14ac:dyDescent="0.25">
      <c r="A22" t="s">
        <v>364</v>
      </c>
      <c r="F22">
        <f>SUM(N19/A17)</f>
        <v>2.0129074104102482</v>
      </c>
    </row>
    <row r="23" spans="1:15" x14ac:dyDescent="0.25">
      <c r="A23" t="s">
        <v>365</v>
      </c>
      <c r="F23">
        <f>SUM(N20/A17)</f>
        <v>2.505886168315226</v>
      </c>
    </row>
    <row r="24" spans="1:15" x14ac:dyDescent="0.25">
      <c r="A24" t="s">
        <v>366</v>
      </c>
      <c r="F24">
        <f>SUM(A18/N20)</f>
        <v>8.2238090307885443</v>
      </c>
    </row>
    <row r="29" spans="1:15" x14ac:dyDescent="0.25">
      <c r="A29" t="s">
        <v>381</v>
      </c>
      <c r="B29" t="s">
        <v>383</v>
      </c>
      <c r="C29" t="s">
        <v>34</v>
      </c>
      <c r="D29" t="s">
        <v>35</v>
      </c>
      <c r="E29" t="s">
        <v>36</v>
      </c>
      <c r="F29" t="s">
        <v>37</v>
      </c>
      <c r="G29" t="s">
        <v>38</v>
      </c>
      <c r="H29" t="s">
        <v>87</v>
      </c>
      <c r="I29" t="s">
        <v>88</v>
      </c>
      <c r="J29" t="s">
        <v>89</v>
      </c>
      <c r="K29" t="s">
        <v>15</v>
      </c>
      <c r="L29" t="s">
        <v>16</v>
      </c>
      <c r="M29" t="s">
        <v>17</v>
      </c>
      <c r="N29" t="s">
        <v>385</v>
      </c>
    </row>
    <row r="30" spans="1:15" x14ac:dyDescent="0.25">
      <c r="A30" t="s">
        <v>382</v>
      </c>
      <c r="H30">
        <v>27</v>
      </c>
      <c r="I30">
        <v>35</v>
      </c>
      <c r="J30">
        <v>36</v>
      </c>
      <c r="K30">
        <v>30</v>
      </c>
      <c r="L30">
        <v>32</v>
      </c>
      <c r="N30">
        <f t="shared" ref="N30" si="0">SUM(B30:M30)</f>
        <v>160</v>
      </c>
    </row>
    <row r="31" spans="1:15" x14ac:dyDescent="0.25">
      <c r="O31" s="36">
        <f>SUM(N32/N30)</f>
        <v>0.45</v>
      </c>
    </row>
    <row r="32" spans="1:15" x14ac:dyDescent="0.25">
      <c r="A32" t="s">
        <v>384</v>
      </c>
      <c r="B32" s="11"/>
      <c r="H32">
        <v>19</v>
      </c>
      <c r="I32">
        <v>14</v>
      </c>
      <c r="J32">
        <v>13</v>
      </c>
      <c r="K32">
        <v>10</v>
      </c>
      <c r="L32">
        <v>16</v>
      </c>
      <c r="N32">
        <f>SUM(B32:M32)</f>
        <v>72</v>
      </c>
    </row>
    <row r="35" spans="1:16" x14ac:dyDescent="0.25">
      <c r="A35" s="15" t="s">
        <v>405</v>
      </c>
      <c r="B35" t="s">
        <v>383</v>
      </c>
      <c r="C35" t="s">
        <v>34</v>
      </c>
      <c r="D35" t="s">
        <v>35</v>
      </c>
      <c r="E35" t="s">
        <v>36</v>
      </c>
      <c r="F35" t="s">
        <v>37</v>
      </c>
      <c r="G35" t="s">
        <v>38</v>
      </c>
      <c r="H35" t="s">
        <v>87</v>
      </c>
      <c r="I35" t="s">
        <v>88</v>
      </c>
      <c r="J35" t="s">
        <v>89</v>
      </c>
      <c r="K35" t="s">
        <v>15</v>
      </c>
      <c r="L35" t="s">
        <v>16</v>
      </c>
      <c r="M35" t="s">
        <v>17</v>
      </c>
      <c r="N35" t="s">
        <v>385</v>
      </c>
    </row>
    <row r="36" spans="1:16" x14ac:dyDescent="0.25">
      <c r="A36" s="15" t="s">
        <v>453</v>
      </c>
      <c r="N36">
        <f>SUM(B36:M36)</f>
        <v>0</v>
      </c>
    </row>
    <row r="37" spans="1:16" x14ac:dyDescent="0.25">
      <c r="O37" s="36" t="e">
        <f>SUM(N38/N36)</f>
        <v>#DIV/0!</v>
      </c>
    </row>
    <row r="38" spans="1:16" x14ac:dyDescent="0.25">
      <c r="A38" s="15" t="s">
        <v>406</v>
      </c>
      <c r="N38">
        <f>SUM(B38:M38)</f>
        <v>0</v>
      </c>
    </row>
    <row r="40" spans="1:16" x14ac:dyDescent="0.25">
      <c r="A40" t="s">
        <v>391</v>
      </c>
      <c r="B40" t="s">
        <v>392</v>
      </c>
    </row>
    <row r="41" spans="1:16" x14ac:dyDescent="0.25">
      <c r="B41" t="s">
        <v>393</v>
      </c>
    </row>
    <row r="43" spans="1:16" x14ac:dyDescent="0.25">
      <c r="B43" t="s">
        <v>383</v>
      </c>
      <c r="C43" t="s">
        <v>34</v>
      </c>
      <c r="D43" t="s">
        <v>35</v>
      </c>
      <c r="E43" t="s">
        <v>36</v>
      </c>
      <c r="F43" t="s">
        <v>37</v>
      </c>
      <c r="G43" t="s">
        <v>38</v>
      </c>
      <c r="H43" t="s">
        <v>87</v>
      </c>
      <c r="I43" t="s">
        <v>88</v>
      </c>
      <c r="J43" t="s">
        <v>89</v>
      </c>
      <c r="K43" t="s">
        <v>15</v>
      </c>
      <c r="L43" t="s">
        <v>16</v>
      </c>
      <c r="M43" t="s">
        <v>17</v>
      </c>
      <c r="N43" t="s">
        <v>385</v>
      </c>
    </row>
    <row r="44" spans="1:16" x14ac:dyDescent="0.25">
      <c r="A44" s="48" t="s">
        <v>445</v>
      </c>
    </row>
    <row r="45" spans="1:16" x14ac:dyDescent="0.25">
      <c r="A45" t="s">
        <v>446</v>
      </c>
      <c r="B45" s="14">
        <v>5</v>
      </c>
      <c r="C45" s="14"/>
      <c r="D45" s="14"/>
      <c r="E45" s="14"/>
      <c r="F45" s="14"/>
      <c r="G45" s="14"/>
      <c r="H45" s="14">
        <v>5</v>
      </c>
      <c r="I45" s="14">
        <v>4</v>
      </c>
      <c r="J45" s="14">
        <v>1</v>
      </c>
      <c r="K45" s="14">
        <v>7</v>
      </c>
      <c r="L45" s="14">
        <v>3</v>
      </c>
      <c r="M45" s="14"/>
      <c r="N45" s="14">
        <f>SUM(B45:M45)</f>
        <v>25</v>
      </c>
      <c r="O45" s="49">
        <f>SUM(N46*12)/440</f>
        <v>0.11363636363636363</v>
      </c>
      <c r="P45" t="s">
        <v>447</v>
      </c>
    </row>
    <row r="46" spans="1:16" x14ac:dyDescent="0.25">
      <c r="B46" s="14"/>
      <c r="C46" s="14"/>
      <c r="D46" s="14"/>
      <c r="E46" s="14"/>
      <c r="F46" s="14"/>
      <c r="G46" s="14"/>
      <c r="H46" s="14"/>
      <c r="I46" s="14"/>
      <c r="J46" s="14"/>
      <c r="K46" s="14"/>
      <c r="L46" s="14"/>
      <c r="M46" t="s">
        <v>448</v>
      </c>
      <c r="N46" s="14">
        <f>AVERAGE(B45:M45)</f>
        <v>4.166666666666667</v>
      </c>
      <c r="O46" s="49"/>
    </row>
    <row r="47" spans="1:16" x14ac:dyDescent="0.25">
      <c r="A47" s="15" t="s">
        <v>527</v>
      </c>
      <c r="B47" s="14"/>
      <c r="C47" s="14"/>
      <c r="D47" s="14"/>
      <c r="E47" s="14"/>
      <c r="F47" s="14"/>
      <c r="G47" s="14"/>
      <c r="H47" s="14"/>
      <c r="I47" s="14"/>
      <c r="J47" s="14"/>
      <c r="K47" s="14"/>
      <c r="L47" s="14"/>
      <c r="N47" s="14"/>
      <c r="O47" s="49"/>
    </row>
    <row r="48" spans="1:16" x14ac:dyDescent="0.25">
      <c r="B48" s="14"/>
      <c r="C48" s="14"/>
      <c r="D48" s="14"/>
      <c r="E48" s="14"/>
      <c r="F48" s="14"/>
      <c r="G48" s="14"/>
      <c r="H48" s="14"/>
      <c r="I48" s="14"/>
      <c r="J48" s="14"/>
      <c r="K48" s="14"/>
      <c r="L48" s="14"/>
      <c r="N48" s="14"/>
      <c r="O48" s="49"/>
    </row>
    <row r="49" spans="1:16" x14ac:dyDescent="0.25">
      <c r="A49" t="s">
        <v>450</v>
      </c>
      <c r="B49" s="14">
        <v>6</v>
      </c>
      <c r="C49" s="14"/>
      <c r="D49" s="14"/>
      <c r="E49" s="14"/>
      <c r="F49" s="14"/>
      <c r="G49" s="14"/>
      <c r="H49" s="14">
        <v>6</v>
      </c>
      <c r="I49" s="14">
        <v>4</v>
      </c>
      <c r="J49" s="14">
        <v>3</v>
      </c>
      <c r="K49" s="14">
        <v>7</v>
      </c>
      <c r="L49" s="14">
        <v>4</v>
      </c>
      <c r="M49" s="14"/>
      <c r="N49" s="14">
        <f>SUM(B49:M49)</f>
        <v>30</v>
      </c>
      <c r="O49" s="49"/>
    </row>
    <row r="50" spans="1:16" x14ac:dyDescent="0.25">
      <c r="M50" t="s">
        <v>448</v>
      </c>
      <c r="N50" s="14">
        <f>AVERAGE(B49:M49)</f>
        <v>5</v>
      </c>
      <c r="O50" s="49">
        <f>SUM(N50*12)/440</f>
        <v>0.13636363636363635</v>
      </c>
      <c r="P50" t="s">
        <v>451</v>
      </c>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29" t="s">
        <v>472</v>
      </c>
      <c r="B1" s="29"/>
      <c r="C1" s="29"/>
      <c r="D1" s="29"/>
      <c r="E1" s="29"/>
      <c r="F1" s="29"/>
      <c r="G1" s="29"/>
      <c r="H1" s="29"/>
      <c r="I1" s="29" t="s">
        <v>471</v>
      </c>
      <c r="J1" s="29"/>
      <c r="K1" s="29"/>
      <c r="L1" s="29"/>
      <c r="M1" s="29"/>
      <c r="N1" s="29"/>
      <c r="O1" s="29"/>
    </row>
    <row r="2" spans="1:28" x14ac:dyDescent="0.25">
      <c r="A2" s="50" t="s">
        <v>458</v>
      </c>
      <c r="B2" s="50">
        <v>1</v>
      </c>
      <c r="C2" s="50">
        <v>2</v>
      </c>
      <c r="D2" s="50">
        <v>3</v>
      </c>
      <c r="E2" s="50">
        <v>4</v>
      </c>
      <c r="F2" s="50">
        <v>5</v>
      </c>
      <c r="G2" s="50">
        <v>6</v>
      </c>
      <c r="H2" s="50">
        <v>7</v>
      </c>
      <c r="I2" s="50">
        <v>8</v>
      </c>
      <c r="J2" s="50">
        <v>9</v>
      </c>
      <c r="K2" s="50">
        <v>10</v>
      </c>
      <c r="L2" s="50">
        <v>11</v>
      </c>
      <c r="M2" s="50">
        <v>12</v>
      </c>
      <c r="N2" s="50">
        <v>13</v>
      </c>
      <c r="O2" s="29"/>
    </row>
    <row r="3" spans="1:28" x14ac:dyDescent="0.25">
      <c r="A3" s="29" t="s">
        <v>456</v>
      </c>
      <c r="B3" s="29">
        <v>49379</v>
      </c>
      <c r="C3" s="29">
        <v>66</v>
      </c>
      <c r="D3" s="29">
        <v>175</v>
      </c>
      <c r="E3" s="29">
        <v>43935</v>
      </c>
      <c r="F3" s="29">
        <v>70</v>
      </c>
      <c r="G3" s="29"/>
      <c r="H3" s="29"/>
      <c r="I3" s="29"/>
      <c r="J3" s="29"/>
      <c r="K3" s="29"/>
      <c r="L3" s="29"/>
      <c r="M3" s="29"/>
      <c r="N3" s="29"/>
      <c r="O3" s="29"/>
    </row>
    <row r="4" spans="1:28" x14ac:dyDescent="0.25">
      <c r="A4" s="29" t="s">
        <v>4</v>
      </c>
      <c r="B4" s="29">
        <v>10605</v>
      </c>
      <c r="C4" s="29">
        <v>20319</v>
      </c>
      <c r="D4" s="29">
        <v>36514</v>
      </c>
      <c r="E4" s="29">
        <v>13.7</v>
      </c>
      <c r="F4" s="29">
        <v>3.9</v>
      </c>
      <c r="G4" s="29"/>
      <c r="H4" s="29"/>
      <c r="I4" s="29"/>
      <c r="J4" s="29"/>
      <c r="K4" s="29"/>
      <c r="L4" s="29"/>
      <c r="M4" s="29"/>
      <c r="N4" s="29"/>
      <c r="O4" s="29"/>
    </row>
    <row r="5" spans="1:28" x14ac:dyDescent="0.25">
      <c r="A5" s="29" t="s">
        <v>235</v>
      </c>
      <c r="B5" s="29">
        <v>4508</v>
      </c>
      <c r="C5" s="29"/>
      <c r="D5" s="29">
        <v>2583</v>
      </c>
      <c r="E5" s="29">
        <v>195</v>
      </c>
      <c r="F5" s="29">
        <v>15</v>
      </c>
      <c r="G5" s="29">
        <v>145</v>
      </c>
      <c r="H5" s="29"/>
      <c r="I5" s="29"/>
      <c r="J5" s="29"/>
      <c r="K5" s="29"/>
      <c r="L5" s="29"/>
      <c r="M5" s="29"/>
      <c r="N5" s="29"/>
      <c r="O5" s="29"/>
    </row>
    <row r="6" spans="1:28" x14ac:dyDescent="0.25">
      <c r="A6" s="29" t="s">
        <v>459</v>
      </c>
      <c r="B6" s="29">
        <v>38674</v>
      </c>
      <c r="C6" s="29">
        <v>31798</v>
      </c>
      <c r="D6" s="29">
        <v>1270</v>
      </c>
      <c r="E6" s="29">
        <v>1538</v>
      </c>
      <c r="F6" s="29">
        <v>17.5</v>
      </c>
      <c r="G6" s="29">
        <v>48.4</v>
      </c>
      <c r="H6" s="29">
        <v>5</v>
      </c>
      <c r="I6" s="29">
        <v>182</v>
      </c>
      <c r="J6" s="29"/>
      <c r="K6" s="29"/>
      <c r="L6" s="29"/>
      <c r="M6" s="29"/>
      <c r="N6" s="29"/>
      <c r="O6" s="29"/>
    </row>
    <row r="7" spans="1:28" x14ac:dyDescent="0.25">
      <c r="A7" s="29" t="s">
        <v>429</v>
      </c>
      <c r="B7" s="29">
        <v>11412</v>
      </c>
      <c r="C7" s="29">
        <v>3.07</v>
      </c>
      <c r="D7" s="29">
        <v>1731</v>
      </c>
      <c r="E7" s="29">
        <v>0.46</v>
      </c>
      <c r="F7" s="29">
        <v>133</v>
      </c>
      <c r="G7" s="29"/>
      <c r="H7" s="29"/>
      <c r="I7" s="29"/>
      <c r="J7" s="29"/>
      <c r="K7" s="29"/>
      <c r="L7" s="29"/>
      <c r="M7" s="29"/>
      <c r="N7" s="29"/>
      <c r="O7" s="29"/>
    </row>
    <row r="8" spans="1:28" x14ac:dyDescent="0.25">
      <c r="A8" s="29" t="s">
        <v>460</v>
      </c>
      <c r="B8" s="29">
        <v>2495</v>
      </c>
      <c r="C8" s="29">
        <v>1970</v>
      </c>
      <c r="D8" s="29">
        <v>396</v>
      </c>
      <c r="E8" s="29">
        <v>0</v>
      </c>
      <c r="F8" s="29">
        <v>133</v>
      </c>
      <c r="G8" s="29">
        <v>315</v>
      </c>
      <c r="H8" s="29">
        <v>2270</v>
      </c>
      <c r="I8" s="29">
        <v>610</v>
      </c>
      <c r="J8" s="29">
        <v>324</v>
      </c>
      <c r="K8" s="29">
        <v>175</v>
      </c>
      <c r="L8" s="29">
        <v>21713</v>
      </c>
      <c r="M8" s="29"/>
      <c r="N8" s="29"/>
      <c r="O8" s="29"/>
    </row>
    <row r="9" spans="1:28" x14ac:dyDescent="0.25">
      <c r="A9" s="29" t="s">
        <v>461</v>
      </c>
      <c r="B9" s="29">
        <v>610</v>
      </c>
      <c r="C9" s="29">
        <v>104</v>
      </c>
      <c r="D9" s="29">
        <v>80</v>
      </c>
      <c r="E9" s="29">
        <v>27</v>
      </c>
      <c r="F9" s="29">
        <v>23</v>
      </c>
      <c r="G9" s="29">
        <v>7</v>
      </c>
      <c r="H9" s="29">
        <v>134</v>
      </c>
      <c r="I9" s="29"/>
      <c r="J9" s="29"/>
      <c r="K9" s="29"/>
      <c r="L9" s="29"/>
      <c r="M9" s="29"/>
      <c r="N9" s="29"/>
      <c r="O9" s="29"/>
    </row>
    <row r="10" spans="1:28" x14ac:dyDescent="0.25">
      <c r="A10" s="29" t="s">
        <v>25</v>
      </c>
      <c r="B10" s="29">
        <v>7864</v>
      </c>
      <c r="C10" s="29">
        <v>56.2</v>
      </c>
      <c r="D10" s="29">
        <v>1.87</v>
      </c>
      <c r="E10" s="29">
        <v>7.9</v>
      </c>
      <c r="F10" s="29">
        <v>2883</v>
      </c>
      <c r="G10" s="29">
        <v>22.6</v>
      </c>
      <c r="H10" s="29"/>
      <c r="I10" s="29">
        <v>24.1</v>
      </c>
      <c r="J10" s="29">
        <v>22.2</v>
      </c>
      <c r="K10" s="29">
        <v>25.4</v>
      </c>
      <c r="L10" s="29">
        <v>21.2</v>
      </c>
      <c r="M10" s="29">
        <v>20</v>
      </c>
      <c r="N10" s="29"/>
      <c r="O10" s="29"/>
    </row>
    <row r="11" spans="1:28" x14ac:dyDescent="0.25">
      <c r="A11" s="29" t="s">
        <v>462</v>
      </c>
      <c r="B11" s="29">
        <v>155</v>
      </c>
      <c r="C11" s="29">
        <v>802</v>
      </c>
      <c r="D11" s="29">
        <v>242</v>
      </c>
      <c r="E11" s="29">
        <v>297</v>
      </c>
      <c r="F11" s="29">
        <v>83.3</v>
      </c>
      <c r="G11" s="29">
        <v>95.7</v>
      </c>
      <c r="H11" s="29">
        <v>835</v>
      </c>
      <c r="I11" s="29">
        <v>99.3</v>
      </c>
      <c r="J11" s="29">
        <v>194</v>
      </c>
      <c r="K11" s="29">
        <v>322</v>
      </c>
      <c r="L11" s="29"/>
      <c r="M11" s="29"/>
      <c r="N11" s="29"/>
      <c r="O11" s="29"/>
    </row>
    <row r="12" spans="1:28" x14ac:dyDescent="0.25">
      <c r="A12" s="29" t="s">
        <v>227</v>
      </c>
      <c r="B12" s="29">
        <v>2085</v>
      </c>
      <c r="C12" s="29">
        <v>8.4</v>
      </c>
      <c r="D12" s="29">
        <v>2781</v>
      </c>
      <c r="E12" s="29">
        <v>431</v>
      </c>
      <c r="F12" s="29"/>
      <c r="G12" s="29"/>
      <c r="H12" s="29"/>
      <c r="I12" s="29"/>
      <c r="J12" s="29"/>
      <c r="K12" s="29"/>
      <c r="L12" s="29"/>
      <c r="M12" s="29"/>
      <c r="N12" s="29"/>
      <c r="O12" s="29"/>
    </row>
    <row r="13" spans="1:28" x14ac:dyDescent="0.25">
      <c r="A13" s="29" t="s">
        <v>463</v>
      </c>
      <c r="B13" s="29">
        <v>1651</v>
      </c>
      <c r="C13" s="29">
        <v>4978</v>
      </c>
      <c r="D13" s="29">
        <v>21.6</v>
      </c>
      <c r="E13" s="29">
        <v>4</v>
      </c>
      <c r="F13" s="29">
        <v>413</v>
      </c>
      <c r="G13" s="29">
        <v>3</v>
      </c>
      <c r="H13" s="29">
        <v>326</v>
      </c>
      <c r="I13" s="29">
        <v>1234</v>
      </c>
      <c r="J13" s="29">
        <v>7737</v>
      </c>
      <c r="K13" s="29">
        <v>22.5</v>
      </c>
      <c r="L13" s="29">
        <v>85</v>
      </c>
      <c r="M13" s="29">
        <v>238</v>
      </c>
      <c r="N13" s="29">
        <v>5348</v>
      </c>
      <c r="O13" s="29"/>
    </row>
    <row r="14" spans="1:28" x14ac:dyDescent="0.25">
      <c r="A14" s="29" t="s">
        <v>435</v>
      </c>
      <c r="B14" s="29">
        <v>38</v>
      </c>
      <c r="C14" s="29">
        <v>8.5</v>
      </c>
      <c r="D14" s="29">
        <v>20</v>
      </c>
      <c r="E14" s="29">
        <v>3.6</v>
      </c>
      <c r="F14" s="29">
        <v>2900</v>
      </c>
      <c r="G14" s="29">
        <v>24300</v>
      </c>
      <c r="H14" s="29"/>
      <c r="I14" s="29"/>
      <c r="J14" s="29"/>
      <c r="K14" s="29"/>
      <c r="L14" s="29"/>
      <c r="M14" s="29"/>
      <c r="N14" s="29"/>
      <c r="O14" s="29"/>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29" t="s">
        <v>228</v>
      </c>
      <c r="B15" s="29">
        <v>3019</v>
      </c>
      <c r="C15" s="29">
        <v>208</v>
      </c>
      <c r="D15" s="29">
        <v>2570</v>
      </c>
      <c r="E15" s="29">
        <v>1663</v>
      </c>
      <c r="F15" s="29">
        <v>1556</v>
      </c>
      <c r="G15" s="29">
        <v>1.71</v>
      </c>
      <c r="H15" s="29">
        <v>36.299999999999997</v>
      </c>
      <c r="I15" s="29">
        <v>35.200000000000003</v>
      </c>
      <c r="J15" s="29">
        <v>2951</v>
      </c>
      <c r="K15" s="29">
        <v>96.6</v>
      </c>
      <c r="L15" s="29"/>
      <c r="M15" s="29"/>
      <c r="N15" s="29"/>
      <c r="O15" s="29"/>
    </row>
    <row r="16" spans="1:28" x14ac:dyDescent="0.25">
      <c r="A16" s="29" t="s">
        <v>230</v>
      </c>
      <c r="B16" s="29">
        <v>100</v>
      </c>
      <c r="C16" s="29">
        <v>99.9</v>
      </c>
      <c r="D16" s="29">
        <v>100</v>
      </c>
      <c r="E16" s="29">
        <v>58</v>
      </c>
      <c r="F16" s="29">
        <v>67</v>
      </c>
      <c r="G16" s="29">
        <v>139</v>
      </c>
      <c r="H16" s="29"/>
      <c r="I16" s="29"/>
      <c r="J16" s="29"/>
      <c r="K16" s="29"/>
      <c r="L16" s="29"/>
      <c r="M16" s="29"/>
      <c r="N16" s="29"/>
      <c r="O16" s="29"/>
    </row>
    <row r="17" spans="1:15" x14ac:dyDescent="0.25">
      <c r="A17" s="29" t="s">
        <v>7</v>
      </c>
      <c r="B17" s="29">
        <v>86.1</v>
      </c>
      <c r="C17" s="29">
        <v>13.3</v>
      </c>
      <c r="D17" s="29">
        <v>2399</v>
      </c>
      <c r="E17" s="29">
        <v>6.6</v>
      </c>
      <c r="F17" s="29">
        <v>2419</v>
      </c>
      <c r="G17" s="29">
        <v>78</v>
      </c>
      <c r="H17" s="29"/>
      <c r="I17" s="29"/>
      <c r="J17" s="29"/>
      <c r="K17" s="29"/>
      <c r="L17" s="29"/>
      <c r="M17" s="29"/>
      <c r="N17" s="29"/>
      <c r="O17" s="29"/>
    </row>
    <row r="18" spans="1:15" x14ac:dyDescent="0.25">
      <c r="A18" s="29" t="s">
        <v>8</v>
      </c>
      <c r="B18" s="29">
        <v>225675</v>
      </c>
      <c r="C18" s="29">
        <v>132675</v>
      </c>
      <c r="D18" s="29">
        <v>8306</v>
      </c>
      <c r="E18" s="29">
        <v>29041</v>
      </c>
      <c r="F18" s="29">
        <v>148156</v>
      </c>
      <c r="G18" s="29">
        <v>35751</v>
      </c>
      <c r="H18" s="29">
        <v>2.4</v>
      </c>
      <c r="I18" s="29">
        <v>3.02</v>
      </c>
      <c r="J18" s="29">
        <v>6.19</v>
      </c>
      <c r="K18" s="29"/>
      <c r="L18" s="29"/>
      <c r="M18" s="29"/>
      <c r="N18" s="29"/>
      <c r="O18" s="29"/>
    </row>
    <row r="19" spans="1:15" x14ac:dyDescent="0.25">
      <c r="A19" s="29" t="s">
        <v>464</v>
      </c>
      <c r="B19" s="29">
        <v>15</v>
      </c>
      <c r="C19" s="29">
        <v>11</v>
      </c>
      <c r="D19" s="29">
        <v>11</v>
      </c>
      <c r="E19" s="29">
        <v>1</v>
      </c>
      <c r="F19" s="29">
        <v>7.1</v>
      </c>
      <c r="G19" s="29">
        <v>0</v>
      </c>
      <c r="H19" s="29">
        <v>745</v>
      </c>
      <c r="I19" s="29"/>
      <c r="J19" s="29"/>
      <c r="K19" s="29"/>
      <c r="L19" s="29"/>
      <c r="M19" s="29"/>
      <c r="N19" s="29"/>
      <c r="O19" s="29"/>
    </row>
    <row r="20" spans="1:15" x14ac:dyDescent="0.25">
      <c r="A20" s="29" t="s">
        <v>465</v>
      </c>
      <c r="B20" s="29">
        <v>138</v>
      </c>
      <c r="C20" s="29">
        <v>0</v>
      </c>
      <c r="D20" s="29">
        <v>148</v>
      </c>
      <c r="E20" s="29">
        <v>27</v>
      </c>
      <c r="F20" s="29">
        <v>4749</v>
      </c>
      <c r="G20" s="29">
        <v>424</v>
      </c>
      <c r="H20" s="29">
        <v>2821</v>
      </c>
      <c r="I20" s="29">
        <v>96.3</v>
      </c>
      <c r="J20" s="29">
        <v>547</v>
      </c>
      <c r="K20" s="29">
        <v>98.5</v>
      </c>
      <c r="L20" s="29">
        <v>123</v>
      </c>
      <c r="M20" s="29"/>
      <c r="N20" s="29"/>
      <c r="O20" s="29"/>
    </row>
    <row r="21" spans="1:15" x14ac:dyDescent="0.25">
      <c r="A21" s="29" t="s">
        <v>9</v>
      </c>
      <c r="B21" s="29">
        <v>2018</v>
      </c>
      <c r="C21" s="29">
        <v>1382</v>
      </c>
      <c r="D21" s="29">
        <v>4952</v>
      </c>
      <c r="E21" s="29">
        <v>1204</v>
      </c>
      <c r="F21" s="29">
        <v>8.1999999999999993</v>
      </c>
      <c r="G21" s="29">
        <v>233282</v>
      </c>
      <c r="H21" s="29">
        <v>170012</v>
      </c>
      <c r="I21" s="29"/>
      <c r="J21" s="29"/>
      <c r="K21" s="29"/>
      <c r="L21" s="29"/>
      <c r="M21" s="29"/>
      <c r="N21" s="29"/>
      <c r="O21" s="29"/>
    </row>
    <row r="22" spans="1:15" x14ac:dyDescent="0.25">
      <c r="A22" s="29" t="s">
        <v>61</v>
      </c>
      <c r="B22" s="29">
        <v>88</v>
      </c>
      <c r="C22" s="29">
        <v>89</v>
      </c>
      <c r="D22" s="29">
        <v>40</v>
      </c>
      <c r="E22" s="29">
        <v>1225</v>
      </c>
      <c r="F22" s="29"/>
      <c r="G22" s="29"/>
      <c r="H22" s="29"/>
      <c r="I22" s="29"/>
      <c r="J22" s="29"/>
      <c r="K22" s="29"/>
      <c r="L22" s="29"/>
      <c r="M22" s="29"/>
      <c r="N22" s="29"/>
      <c r="O22" s="29"/>
    </row>
    <row r="23" spans="1:15" x14ac:dyDescent="0.25">
      <c r="A23" s="29" t="s">
        <v>233</v>
      </c>
      <c r="B23" s="29">
        <v>332373</v>
      </c>
      <c r="C23" s="29">
        <v>63507</v>
      </c>
      <c r="D23" s="29">
        <v>18767</v>
      </c>
      <c r="E23" s="29">
        <v>3.4</v>
      </c>
      <c r="F23" s="29">
        <v>0.2</v>
      </c>
      <c r="G23" s="29">
        <v>9.32</v>
      </c>
      <c r="H23" s="29">
        <v>1.95</v>
      </c>
      <c r="I23" s="29"/>
      <c r="J23" s="29"/>
      <c r="K23" s="29"/>
      <c r="L23" s="29"/>
      <c r="M23" s="29"/>
      <c r="N23" s="29"/>
      <c r="O23" s="29"/>
    </row>
    <row r="24" spans="1:15" x14ac:dyDescent="0.25">
      <c r="A24" s="29" t="s">
        <v>10</v>
      </c>
      <c r="B24" s="29">
        <v>12389</v>
      </c>
      <c r="C24" s="29">
        <v>80</v>
      </c>
      <c r="D24" s="29">
        <v>617</v>
      </c>
      <c r="E24" s="29">
        <v>20</v>
      </c>
      <c r="F24" s="29">
        <v>28.2</v>
      </c>
      <c r="G24" s="29">
        <v>6581</v>
      </c>
      <c r="H24" s="29">
        <v>1741</v>
      </c>
      <c r="I24" s="29">
        <v>459</v>
      </c>
      <c r="J24" s="29">
        <v>20.3</v>
      </c>
      <c r="K24" s="29">
        <v>33.9</v>
      </c>
      <c r="L24" s="29"/>
      <c r="M24" s="29"/>
      <c r="N24" s="29"/>
      <c r="O24" s="29"/>
    </row>
    <row r="25" spans="1:15" x14ac:dyDescent="0.25">
      <c r="A25" s="29" t="s">
        <v>229</v>
      </c>
      <c r="B25" s="29">
        <v>4589</v>
      </c>
      <c r="C25" s="29">
        <v>1259</v>
      </c>
      <c r="D25" s="29">
        <v>1098</v>
      </c>
      <c r="E25" s="29">
        <v>725</v>
      </c>
      <c r="F25" s="29">
        <v>3.85</v>
      </c>
      <c r="G25" s="29">
        <v>22581</v>
      </c>
      <c r="H25" s="29">
        <v>91.3</v>
      </c>
      <c r="I25" s="29"/>
      <c r="J25" s="29"/>
      <c r="K25" s="29"/>
      <c r="L25" s="29"/>
      <c r="M25" s="29"/>
      <c r="N25" s="29"/>
      <c r="O25" s="29"/>
    </row>
    <row r="26" spans="1:15" x14ac:dyDescent="0.25">
      <c r="A26" s="29" t="s">
        <v>11</v>
      </c>
      <c r="B26" s="29">
        <v>826</v>
      </c>
      <c r="C26" s="29">
        <v>62.6</v>
      </c>
      <c r="D26" s="29">
        <v>1</v>
      </c>
      <c r="E26" s="29">
        <v>40.6</v>
      </c>
      <c r="F26" s="29">
        <v>51488</v>
      </c>
      <c r="G26" s="29">
        <v>130</v>
      </c>
      <c r="H26" s="29">
        <v>76.3</v>
      </c>
      <c r="I26" s="29">
        <v>100</v>
      </c>
      <c r="J26" s="29">
        <v>98.8</v>
      </c>
      <c r="K26" s="29">
        <v>97.8</v>
      </c>
      <c r="L26" s="29">
        <v>273.2</v>
      </c>
      <c r="M26" s="29"/>
      <c r="N26" s="29"/>
      <c r="O26" s="29"/>
    </row>
    <row r="27" spans="1:15" x14ac:dyDescent="0.25">
      <c r="A27" s="29" t="s">
        <v>12</v>
      </c>
      <c r="B27" s="29">
        <v>1</v>
      </c>
      <c r="C27" s="29">
        <v>0</v>
      </c>
      <c r="D27" s="29">
        <v>23</v>
      </c>
      <c r="E27" s="29">
        <v>88.29</v>
      </c>
      <c r="F27" s="29">
        <v>1.57</v>
      </c>
      <c r="G27" s="29">
        <v>0.28000000000000003</v>
      </c>
      <c r="H27" s="29"/>
      <c r="I27" s="29"/>
      <c r="J27" s="29"/>
      <c r="K27" s="29"/>
      <c r="L27" s="29"/>
      <c r="M27" s="29"/>
      <c r="N27" s="29"/>
      <c r="O27" s="29"/>
    </row>
    <row r="28" spans="1:15" x14ac:dyDescent="0.25">
      <c r="A28" s="29" t="s">
        <v>13</v>
      </c>
      <c r="B28" s="29">
        <v>2058</v>
      </c>
      <c r="C28" s="29">
        <v>640</v>
      </c>
      <c r="D28" s="29">
        <v>96.57</v>
      </c>
      <c r="E28" s="29">
        <v>88.61</v>
      </c>
      <c r="F28" s="29">
        <v>95.86</v>
      </c>
      <c r="G28" s="29">
        <v>0</v>
      </c>
      <c r="H28" s="29">
        <v>30514</v>
      </c>
      <c r="I28" s="29">
        <v>14632</v>
      </c>
      <c r="J28" s="29">
        <v>197</v>
      </c>
      <c r="K28" s="29"/>
      <c r="L28" s="29"/>
      <c r="M28" s="29"/>
      <c r="N28" s="29"/>
      <c r="O28" s="29"/>
    </row>
    <row r="29" spans="1:15" x14ac:dyDescent="0.25">
      <c r="A29" s="29" t="s">
        <v>466</v>
      </c>
      <c r="B29" s="29">
        <v>1157</v>
      </c>
      <c r="C29" s="29">
        <v>1704</v>
      </c>
      <c r="D29" s="29">
        <v>2861</v>
      </c>
      <c r="E29" s="29">
        <v>11.5</v>
      </c>
      <c r="F29" s="29"/>
      <c r="G29" s="29"/>
      <c r="H29" s="29"/>
      <c r="I29" s="29">
        <v>2</v>
      </c>
      <c r="J29" s="29"/>
      <c r="K29" s="29"/>
      <c r="L29" s="29"/>
      <c r="M29" s="29"/>
      <c r="N29" s="29"/>
      <c r="O29" s="29"/>
    </row>
    <row r="30" spans="1:15" x14ac:dyDescent="0.25">
      <c r="A30" s="29" t="s">
        <v>14</v>
      </c>
      <c r="B30" s="29">
        <v>8769</v>
      </c>
      <c r="C30" s="29">
        <v>2238</v>
      </c>
      <c r="D30" s="29">
        <v>11</v>
      </c>
      <c r="E30" s="29">
        <v>6209</v>
      </c>
      <c r="F30" s="29"/>
      <c r="G30" s="29"/>
      <c r="H30" s="29"/>
      <c r="I30" s="29"/>
      <c r="J30" s="29"/>
      <c r="K30" s="29"/>
      <c r="L30" s="29"/>
      <c r="M30" s="29"/>
      <c r="N30" s="29"/>
      <c r="O30" s="29"/>
    </row>
    <row r="31" spans="1:15" x14ac:dyDescent="0.25">
      <c r="A31" s="29" t="s">
        <v>232</v>
      </c>
      <c r="B31" s="29">
        <v>49718</v>
      </c>
      <c r="C31" s="29">
        <v>7619</v>
      </c>
      <c r="D31" s="29">
        <v>2719</v>
      </c>
      <c r="E31" s="29">
        <v>8.9</v>
      </c>
      <c r="F31" s="29">
        <v>15.7</v>
      </c>
      <c r="G31" s="29">
        <v>17.8</v>
      </c>
      <c r="H31" s="29"/>
      <c r="I31" s="29"/>
      <c r="J31" s="29"/>
      <c r="K31" s="29"/>
      <c r="L31" s="29"/>
      <c r="M31" s="29"/>
      <c r="N31" s="29"/>
      <c r="O31" s="29"/>
    </row>
    <row r="32" spans="1:15" x14ac:dyDescent="0.25">
      <c r="A32" s="47">
        <v>911</v>
      </c>
      <c r="B32" s="29">
        <v>120253</v>
      </c>
      <c r="C32" s="29">
        <v>2.3199999999999998</v>
      </c>
      <c r="D32" s="29">
        <v>1</v>
      </c>
      <c r="E32" s="29">
        <v>3.18</v>
      </c>
      <c r="F32" s="29">
        <v>4.38</v>
      </c>
      <c r="G32" s="29"/>
      <c r="H32" s="29"/>
      <c r="I32" s="29"/>
      <c r="J32" s="29"/>
      <c r="K32" s="29"/>
      <c r="L32" s="29"/>
      <c r="M32" s="29"/>
      <c r="N32" s="29"/>
      <c r="O32" s="29"/>
    </row>
    <row r="33" spans="1:15" x14ac:dyDescent="0.25">
      <c r="A33" s="29"/>
      <c r="B33" s="29"/>
      <c r="C33" s="29"/>
      <c r="D33" s="29"/>
      <c r="E33" s="29"/>
      <c r="F33" s="29"/>
      <c r="G33" s="29"/>
      <c r="H33" s="29"/>
      <c r="I33" s="29"/>
      <c r="J33" s="29"/>
      <c r="K33" s="29"/>
      <c r="L33" s="29"/>
      <c r="M33" s="29"/>
      <c r="N33" s="29"/>
      <c r="O33" s="29"/>
    </row>
    <row r="34" spans="1:15" x14ac:dyDescent="0.25">
      <c r="A34" s="29" t="s">
        <v>473</v>
      </c>
      <c r="B34" s="29"/>
      <c r="C34" s="29"/>
      <c r="D34" s="29"/>
      <c r="E34" s="29"/>
      <c r="F34" s="29"/>
      <c r="G34" s="29"/>
      <c r="H34" s="29"/>
      <c r="I34" s="29" t="s">
        <v>457</v>
      </c>
      <c r="J34" s="29"/>
      <c r="K34" s="29"/>
      <c r="L34" s="29"/>
      <c r="M34" s="29"/>
      <c r="N34" s="29"/>
      <c r="O34" s="29"/>
    </row>
    <row r="35" spans="1:15" x14ac:dyDescent="0.25">
      <c r="A35" s="50" t="s">
        <v>458</v>
      </c>
      <c r="B35" s="50">
        <v>1</v>
      </c>
      <c r="C35" s="50">
        <v>2</v>
      </c>
      <c r="D35" s="50">
        <v>3</v>
      </c>
      <c r="E35" s="50">
        <v>4</v>
      </c>
      <c r="F35" s="50">
        <v>5</v>
      </c>
      <c r="G35" s="50">
        <v>6</v>
      </c>
      <c r="H35" s="50">
        <v>7</v>
      </c>
      <c r="I35" s="50">
        <v>8</v>
      </c>
      <c r="J35" s="50">
        <v>9</v>
      </c>
      <c r="K35" s="50">
        <v>10</v>
      </c>
      <c r="L35" s="50">
        <v>11</v>
      </c>
      <c r="M35" s="50">
        <v>12</v>
      </c>
      <c r="N35" s="50">
        <v>13</v>
      </c>
      <c r="O35" s="29"/>
    </row>
    <row r="36" spans="1:15" x14ac:dyDescent="0.25">
      <c r="A36" s="29" t="s">
        <v>456</v>
      </c>
      <c r="B36" s="29">
        <v>61636</v>
      </c>
      <c r="C36" s="29">
        <v>61</v>
      </c>
      <c r="D36" s="29">
        <v>156</v>
      </c>
      <c r="E36" s="29">
        <v>37834</v>
      </c>
      <c r="F36" s="29">
        <v>62</v>
      </c>
      <c r="G36" s="29"/>
      <c r="H36" s="29"/>
      <c r="I36" s="29"/>
      <c r="J36" s="29"/>
      <c r="K36" s="29"/>
      <c r="L36" s="29"/>
      <c r="M36" s="29"/>
      <c r="N36" s="29"/>
      <c r="O36" s="29"/>
    </row>
    <row r="37" spans="1:15" x14ac:dyDescent="0.25">
      <c r="A37" s="29" t="s">
        <v>4</v>
      </c>
      <c r="B37" s="29">
        <v>9969</v>
      </c>
      <c r="C37" s="29">
        <v>24066</v>
      </c>
      <c r="D37" s="29">
        <v>33281</v>
      </c>
      <c r="E37" s="29">
        <v>22</v>
      </c>
      <c r="F37" s="29">
        <v>2</v>
      </c>
      <c r="G37" s="29"/>
      <c r="H37" s="29"/>
      <c r="I37" s="29"/>
      <c r="J37" s="29"/>
      <c r="K37" s="29"/>
      <c r="L37" s="29"/>
      <c r="M37" s="29"/>
      <c r="N37" s="29"/>
      <c r="O37" s="29"/>
    </row>
    <row r="38" spans="1:15" x14ac:dyDescent="0.25">
      <c r="A38" s="29" t="s">
        <v>235</v>
      </c>
      <c r="B38" s="29">
        <v>4704</v>
      </c>
      <c r="C38" s="29">
        <v>18.8</v>
      </c>
      <c r="D38" s="29">
        <v>2901</v>
      </c>
      <c r="E38" s="29">
        <v>279</v>
      </c>
      <c r="F38" s="29">
        <v>21</v>
      </c>
      <c r="G38" s="29">
        <v>166</v>
      </c>
      <c r="H38" s="29"/>
      <c r="I38" s="29"/>
      <c r="J38" s="29"/>
      <c r="K38" s="29"/>
      <c r="L38" s="29"/>
      <c r="M38" s="29"/>
      <c r="N38" s="29"/>
      <c r="O38" s="29"/>
    </row>
    <row r="39" spans="1:15" x14ac:dyDescent="0.25">
      <c r="A39" s="29" t="s">
        <v>459</v>
      </c>
      <c r="B39" s="29">
        <v>39279</v>
      </c>
      <c r="C39" s="29">
        <v>23101</v>
      </c>
      <c r="D39" s="29">
        <v>1597</v>
      </c>
      <c r="E39" s="29">
        <v>1130</v>
      </c>
      <c r="F39" s="29">
        <v>9</v>
      </c>
      <c r="G39" s="29">
        <v>40.799999999999997</v>
      </c>
      <c r="H39" s="29">
        <v>5</v>
      </c>
      <c r="I39" s="29">
        <v>320</v>
      </c>
      <c r="J39" s="29"/>
      <c r="K39" s="29"/>
      <c r="L39" s="29"/>
      <c r="M39" s="29"/>
      <c r="N39" s="29"/>
      <c r="O39" s="29"/>
    </row>
    <row r="40" spans="1:15" x14ac:dyDescent="0.25">
      <c r="A40" s="29" t="s">
        <v>429</v>
      </c>
      <c r="B40" s="29">
        <v>11756</v>
      </c>
      <c r="C40" s="29">
        <v>3.1</v>
      </c>
      <c r="D40" s="29">
        <v>2065</v>
      </c>
      <c r="E40" s="29">
        <v>0.55000000000000004</v>
      </c>
      <c r="F40" s="29">
        <v>59</v>
      </c>
      <c r="G40" s="29"/>
      <c r="H40" s="29"/>
      <c r="I40" s="29"/>
      <c r="J40" s="29"/>
      <c r="K40" s="29"/>
      <c r="L40" s="29"/>
      <c r="M40" s="29"/>
      <c r="N40" s="29"/>
      <c r="O40" s="29"/>
    </row>
    <row r="41" spans="1:15" x14ac:dyDescent="0.25">
      <c r="A41" s="29" t="s">
        <v>460</v>
      </c>
      <c r="B41" s="29">
        <v>9846</v>
      </c>
      <c r="C41" s="29">
        <v>732</v>
      </c>
      <c r="D41" s="29">
        <v>14</v>
      </c>
      <c r="E41" s="29">
        <v>0</v>
      </c>
      <c r="F41" s="29">
        <v>335</v>
      </c>
      <c r="G41" s="29">
        <v>273</v>
      </c>
      <c r="H41" s="29">
        <v>2654</v>
      </c>
      <c r="I41" s="29">
        <v>501</v>
      </c>
      <c r="J41" s="29">
        <v>86</v>
      </c>
      <c r="K41" s="29">
        <v>1067</v>
      </c>
      <c r="L41" s="29">
        <v>7191</v>
      </c>
      <c r="M41" s="29"/>
      <c r="N41" s="29"/>
      <c r="O41" s="29"/>
    </row>
    <row r="42" spans="1:15" x14ac:dyDescent="0.25">
      <c r="A42" s="29" t="s">
        <v>461</v>
      </c>
      <c r="B42" s="29">
        <v>542</v>
      </c>
      <c r="C42" s="29">
        <v>103</v>
      </c>
      <c r="D42" s="29">
        <v>74</v>
      </c>
      <c r="E42" s="29">
        <v>27</v>
      </c>
      <c r="F42" s="29">
        <v>19</v>
      </c>
      <c r="G42" s="29">
        <v>8</v>
      </c>
      <c r="H42" s="29">
        <v>830</v>
      </c>
      <c r="I42" s="29"/>
      <c r="J42" s="29"/>
      <c r="K42" s="29"/>
      <c r="L42" s="29"/>
      <c r="M42" s="29"/>
      <c r="N42" s="29"/>
      <c r="O42" s="29"/>
    </row>
    <row r="43" spans="1:15" x14ac:dyDescent="0.25">
      <c r="A43" s="29" t="s">
        <v>25</v>
      </c>
      <c r="B43" s="29">
        <v>8666</v>
      </c>
      <c r="C43" s="29">
        <v>56.6</v>
      </c>
      <c r="D43" s="29">
        <v>1.79</v>
      </c>
      <c r="E43" s="29">
        <v>7.8</v>
      </c>
      <c r="F43" s="29">
        <v>3342</v>
      </c>
      <c r="G43" s="29">
        <v>25.7</v>
      </c>
      <c r="H43" s="29"/>
      <c r="I43" s="29">
        <v>27.7</v>
      </c>
      <c r="J43" s="29">
        <v>25.7</v>
      </c>
      <c r="K43" s="29">
        <v>29.2</v>
      </c>
      <c r="L43" s="29">
        <v>23.2</v>
      </c>
      <c r="M43" s="29">
        <v>23.3</v>
      </c>
      <c r="N43" s="29"/>
      <c r="O43" s="29"/>
    </row>
    <row r="44" spans="1:15" x14ac:dyDescent="0.25">
      <c r="A44" s="29" t="s">
        <v>462</v>
      </c>
      <c r="B44" s="29">
        <v>186</v>
      </c>
      <c r="C44" s="29">
        <v>769</v>
      </c>
      <c r="D44" s="29">
        <v>272</v>
      </c>
      <c r="E44" s="29">
        <v>238</v>
      </c>
      <c r="F44" s="29">
        <v>85.9</v>
      </c>
      <c r="G44" s="29">
        <v>92.8</v>
      </c>
      <c r="H44" s="29">
        <v>798</v>
      </c>
      <c r="I44" s="29">
        <v>96.5</v>
      </c>
      <c r="J44" s="29">
        <v>264</v>
      </c>
      <c r="K44" s="29">
        <v>328</v>
      </c>
      <c r="L44" s="29"/>
      <c r="M44" s="29"/>
      <c r="N44" s="29"/>
      <c r="O44" s="29"/>
    </row>
    <row r="45" spans="1:15" x14ac:dyDescent="0.25">
      <c r="A45" s="29" t="s">
        <v>227</v>
      </c>
      <c r="B45" s="29">
        <v>2018</v>
      </c>
      <c r="C45" s="29">
        <v>8.1</v>
      </c>
      <c r="D45" s="29">
        <v>3038</v>
      </c>
      <c r="E45" s="29">
        <v>176</v>
      </c>
      <c r="F45" s="29"/>
      <c r="G45" s="29"/>
      <c r="H45" s="29"/>
      <c r="I45" s="29"/>
      <c r="J45" s="29"/>
      <c r="K45" s="29"/>
      <c r="L45" s="29"/>
      <c r="M45" s="29"/>
      <c r="N45" s="29"/>
      <c r="O45" s="29"/>
    </row>
    <row r="46" spans="1:15" x14ac:dyDescent="0.25">
      <c r="A46" s="29" t="s">
        <v>463</v>
      </c>
      <c r="B46" s="29">
        <v>1743</v>
      </c>
      <c r="C46" s="29">
        <v>5029</v>
      </c>
      <c r="D46" s="29">
        <v>20.399999999999999</v>
      </c>
      <c r="E46" s="29">
        <v>2</v>
      </c>
      <c r="F46" s="29">
        <v>453</v>
      </c>
      <c r="G46" s="29">
        <v>1</v>
      </c>
      <c r="H46" s="29">
        <v>241</v>
      </c>
      <c r="I46" s="29">
        <v>1157</v>
      </c>
      <c r="J46" s="29">
        <v>7759</v>
      </c>
      <c r="K46" s="29">
        <v>26.2</v>
      </c>
      <c r="L46" s="29">
        <v>97</v>
      </c>
      <c r="M46" s="29">
        <v>194</v>
      </c>
      <c r="N46" s="29">
        <v>5753</v>
      </c>
      <c r="O46" s="29"/>
    </row>
    <row r="47" spans="1:15" x14ac:dyDescent="0.25">
      <c r="A47" s="29" t="s">
        <v>435</v>
      </c>
      <c r="B47" s="29">
        <v>44</v>
      </c>
      <c r="C47" s="29">
        <v>10.199999999999999</v>
      </c>
      <c r="D47" s="29">
        <v>32</v>
      </c>
      <c r="E47" s="29">
        <v>7.4</v>
      </c>
      <c r="F47" s="29">
        <v>4008</v>
      </c>
      <c r="G47" s="29">
        <v>25606</v>
      </c>
      <c r="H47" s="29"/>
      <c r="I47" s="29"/>
      <c r="J47" s="29"/>
      <c r="K47" s="29"/>
      <c r="L47" s="29"/>
      <c r="M47" s="29"/>
      <c r="N47" s="29"/>
      <c r="O47" s="29"/>
    </row>
    <row r="48" spans="1:15" x14ac:dyDescent="0.25">
      <c r="A48" s="29" t="s">
        <v>228</v>
      </c>
      <c r="B48" s="29">
        <v>2743</v>
      </c>
      <c r="C48" s="29">
        <v>289</v>
      </c>
      <c r="D48" s="29">
        <v>2303</v>
      </c>
      <c r="E48" s="29">
        <v>1595</v>
      </c>
      <c r="F48" s="29">
        <v>1305</v>
      </c>
      <c r="G48" s="29">
        <v>1.47</v>
      </c>
      <c r="H48" s="29">
        <v>33.1</v>
      </c>
      <c r="I48" s="29">
        <v>36.299999999999997</v>
      </c>
      <c r="J48" s="29">
        <v>2980</v>
      </c>
      <c r="K48" s="29">
        <v>87.9</v>
      </c>
      <c r="L48" s="29"/>
      <c r="M48" s="29"/>
      <c r="N48" s="29"/>
      <c r="O48" s="29"/>
    </row>
    <row r="49" spans="1:15" x14ac:dyDescent="0.25">
      <c r="A49" s="29" t="s">
        <v>230</v>
      </c>
      <c r="B49" s="29">
        <v>100</v>
      </c>
      <c r="C49" s="29">
        <v>100</v>
      </c>
      <c r="D49" s="29">
        <v>100</v>
      </c>
      <c r="E49" s="29">
        <v>48.5</v>
      </c>
      <c r="F49" s="29">
        <v>53.3</v>
      </c>
      <c r="G49" s="29">
        <v>141</v>
      </c>
      <c r="H49" s="29"/>
      <c r="I49" s="29"/>
      <c r="J49" s="29"/>
      <c r="K49" s="29"/>
      <c r="L49" s="29"/>
      <c r="M49" s="29"/>
      <c r="N49" s="29"/>
      <c r="O49" s="29"/>
    </row>
    <row r="50" spans="1:15" x14ac:dyDescent="0.25">
      <c r="A50" s="29" t="s">
        <v>7</v>
      </c>
      <c r="B50" s="29">
        <v>74.099999999999994</v>
      </c>
      <c r="C50" s="29">
        <v>12</v>
      </c>
      <c r="D50" s="29">
        <v>2295</v>
      </c>
      <c r="E50" s="29">
        <v>6.2</v>
      </c>
      <c r="F50" s="29">
        <v>2266</v>
      </c>
      <c r="G50" s="29">
        <v>75.900000000000006</v>
      </c>
      <c r="H50" s="29"/>
      <c r="I50" s="29"/>
      <c r="J50" s="29"/>
      <c r="K50" s="29"/>
      <c r="L50" s="29"/>
      <c r="M50" s="29"/>
      <c r="N50" s="29"/>
      <c r="O50" s="29"/>
    </row>
    <row r="51" spans="1:15" x14ac:dyDescent="0.25">
      <c r="A51" s="29" t="s">
        <v>8</v>
      </c>
      <c r="B51" s="29">
        <v>213204</v>
      </c>
      <c r="C51" s="29">
        <v>124482</v>
      </c>
      <c r="D51" s="29">
        <v>7301</v>
      </c>
      <c r="E51" s="29">
        <v>29249</v>
      </c>
      <c r="F51" s="29">
        <v>142567</v>
      </c>
      <c r="G51" s="29">
        <v>39061</v>
      </c>
      <c r="H51" s="29">
        <v>2.4</v>
      </c>
      <c r="I51" s="29">
        <v>3.01</v>
      </c>
      <c r="J51" s="29">
        <v>6.76</v>
      </c>
      <c r="K51" s="29">
        <v>4611</v>
      </c>
      <c r="L51" s="29">
        <v>2454</v>
      </c>
      <c r="M51" s="29">
        <v>44</v>
      </c>
      <c r="N51" s="29">
        <v>0</v>
      </c>
      <c r="O51" s="29"/>
    </row>
    <row r="52" spans="1:15" x14ac:dyDescent="0.25">
      <c r="A52" s="29" t="s">
        <v>464</v>
      </c>
      <c r="B52" s="29">
        <v>23</v>
      </c>
      <c r="C52" s="29">
        <v>21</v>
      </c>
      <c r="D52" s="29">
        <v>19</v>
      </c>
      <c r="E52" s="29">
        <v>17</v>
      </c>
      <c r="F52" s="29">
        <v>0</v>
      </c>
      <c r="G52" s="29">
        <v>0</v>
      </c>
      <c r="H52" s="29">
        <v>0</v>
      </c>
      <c r="I52" s="29">
        <v>1945</v>
      </c>
      <c r="J52" s="29"/>
      <c r="K52" s="29"/>
      <c r="L52" s="29"/>
      <c r="M52" s="29"/>
      <c r="N52" s="29"/>
      <c r="O52" s="29"/>
    </row>
    <row r="53" spans="1:15" x14ac:dyDescent="0.25">
      <c r="A53" s="29" t="s">
        <v>465</v>
      </c>
      <c r="B53" s="29">
        <v>205</v>
      </c>
      <c r="C53" s="29">
        <v>0</v>
      </c>
      <c r="D53" s="29">
        <v>263</v>
      </c>
      <c r="E53" s="29">
        <v>19</v>
      </c>
      <c r="F53" s="29">
        <v>4824</v>
      </c>
      <c r="G53" s="29">
        <v>594</v>
      </c>
      <c r="H53" s="29">
        <v>240</v>
      </c>
      <c r="I53" s="29">
        <v>98.4</v>
      </c>
      <c r="J53" s="29">
        <v>655</v>
      </c>
      <c r="K53" s="29">
        <v>98.9</v>
      </c>
      <c r="L53" s="29">
        <v>195</v>
      </c>
      <c r="M53" s="29"/>
      <c r="N53" s="29"/>
      <c r="O53" s="29"/>
    </row>
    <row r="54" spans="1:15" x14ac:dyDescent="0.25">
      <c r="A54" s="29" t="s">
        <v>9</v>
      </c>
      <c r="B54" s="29">
        <v>1756</v>
      </c>
      <c r="C54" s="29">
        <v>1441</v>
      </c>
      <c r="D54" s="29">
        <v>5223</v>
      </c>
      <c r="E54" s="29">
        <v>1073</v>
      </c>
      <c r="F54" s="29">
        <v>7.06</v>
      </c>
      <c r="G54" s="29">
        <v>228655</v>
      </c>
      <c r="H54" s="29">
        <v>175046</v>
      </c>
      <c r="I54" s="29"/>
      <c r="J54" s="29"/>
      <c r="K54" s="29"/>
      <c r="L54" s="29"/>
      <c r="M54" s="29"/>
      <c r="N54" s="29"/>
      <c r="O54" s="29"/>
    </row>
    <row r="55" spans="1:15" x14ac:dyDescent="0.25">
      <c r="A55" s="29" t="s">
        <v>61</v>
      </c>
      <c r="B55" s="29">
        <v>50</v>
      </c>
      <c r="C55" s="29">
        <v>115</v>
      </c>
      <c r="D55" s="29">
        <v>40</v>
      </c>
      <c r="E55" s="29">
        <v>1414</v>
      </c>
      <c r="F55" s="29"/>
      <c r="G55" s="29"/>
      <c r="H55" s="29"/>
      <c r="I55" s="29"/>
      <c r="J55" s="29"/>
      <c r="K55" s="29"/>
      <c r="L55" s="29"/>
      <c r="M55" s="29"/>
      <c r="N55" s="29"/>
      <c r="O55" s="29"/>
    </row>
    <row r="56" spans="1:15" x14ac:dyDescent="0.25">
      <c r="A56" s="29" t="s">
        <v>233</v>
      </c>
      <c r="B56" s="29">
        <v>313790</v>
      </c>
      <c r="C56" s="29">
        <v>62588</v>
      </c>
      <c r="D56" s="29">
        <v>17966</v>
      </c>
      <c r="E56" s="29">
        <v>3.5</v>
      </c>
      <c r="F56" s="29">
        <v>0.23</v>
      </c>
      <c r="G56" s="29">
        <v>8.2899999999999991</v>
      </c>
      <c r="H56" s="29">
        <v>1.9</v>
      </c>
      <c r="I56" s="29"/>
      <c r="J56" s="29"/>
      <c r="K56" s="29"/>
      <c r="L56" s="29"/>
      <c r="M56" s="29"/>
      <c r="N56" s="29"/>
      <c r="O56" s="29"/>
    </row>
    <row r="57" spans="1:15" x14ac:dyDescent="0.25">
      <c r="A57" s="29" t="s">
        <v>10</v>
      </c>
      <c r="B57" s="29">
        <v>12638</v>
      </c>
      <c r="C57" s="29">
        <v>62</v>
      </c>
      <c r="D57" s="29">
        <v>648</v>
      </c>
      <c r="E57" s="29">
        <v>29</v>
      </c>
      <c r="F57" s="29">
        <v>18.399999999999999</v>
      </c>
      <c r="G57" s="29">
        <v>8698</v>
      </c>
      <c r="H57" s="29">
        <v>1953</v>
      </c>
      <c r="I57" s="29">
        <v>603</v>
      </c>
      <c r="J57" s="29">
        <v>20.8</v>
      </c>
      <c r="K57" s="29">
        <v>34.5</v>
      </c>
      <c r="L57" s="29"/>
      <c r="M57" s="29"/>
      <c r="N57" s="29"/>
      <c r="O57" s="29"/>
    </row>
    <row r="58" spans="1:15" x14ac:dyDescent="0.25">
      <c r="A58" s="29" t="s">
        <v>229</v>
      </c>
      <c r="B58" s="29">
        <v>4261</v>
      </c>
      <c r="C58" s="29">
        <v>1225</v>
      </c>
      <c r="D58" s="29">
        <v>1024</v>
      </c>
      <c r="E58" s="29">
        <v>799</v>
      </c>
      <c r="F58" s="29">
        <v>3.99</v>
      </c>
      <c r="G58" s="29">
        <v>21310</v>
      </c>
      <c r="H58" s="29">
        <v>85.3</v>
      </c>
      <c r="I58" s="29"/>
      <c r="J58" s="29"/>
      <c r="K58" s="29"/>
      <c r="L58" s="29"/>
      <c r="M58" s="29"/>
      <c r="N58" s="29"/>
      <c r="O58" s="29"/>
    </row>
    <row r="59" spans="1:15" x14ac:dyDescent="0.25">
      <c r="A59" s="29" t="s">
        <v>11</v>
      </c>
      <c r="B59" s="29">
        <v>985</v>
      </c>
      <c r="C59" s="29">
        <v>63.2</v>
      </c>
      <c r="D59" s="29">
        <v>7.25</v>
      </c>
      <c r="E59" s="29">
        <v>31.2</v>
      </c>
      <c r="F59" s="29">
        <v>48562</v>
      </c>
      <c r="G59" s="29">
        <v>126</v>
      </c>
      <c r="H59" s="29">
        <v>97.2</v>
      </c>
      <c r="I59" s="29">
        <v>100</v>
      </c>
      <c r="J59" s="29">
        <v>99.3</v>
      </c>
      <c r="K59" s="29">
        <v>99.3</v>
      </c>
      <c r="L59" s="29">
        <v>215.4</v>
      </c>
      <c r="M59" s="29"/>
      <c r="N59" s="29"/>
      <c r="O59" s="29"/>
    </row>
    <row r="60" spans="1:15" x14ac:dyDescent="0.25">
      <c r="A60" s="29" t="s">
        <v>12</v>
      </c>
      <c r="B60" s="29">
        <v>2</v>
      </c>
      <c r="C60" s="29">
        <v>353</v>
      </c>
      <c r="D60" s="29">
        <v>1</v>
      </c>
      <c r="E60" s="29">
        <v>94.6</v>
      </c>
      <c r="F60" s="29">
        <v>0</v>
      </c>
      <c r="G60" s="29">
        <v>1.6</v>
      </c>
      <c r="H60" s="29"/>
      <c r="I60" s="29"/>
      <c r="J60" s="29"/>
      <c r="K60" s="29"/>
      <c r="L60" s="29"/>
      <c r="M60" s="29"/>
      <c r="N60" s="29"/>
      <c r="O60" s="29"/>
    </row>
    <row r="61" spans="1:15" x14ac:dyDescent="0.25">
      <c r="A61" s="29" t="s">
        <v>13</v>
      </c>
      <c r="B61" s="29">
        <v>2109</v>
      </c>
      <c r="C61" s="29">
        <v>1503</v>
      </c>
      <c r="D61" s="29">
        <v>96.1</v>
      </c>
      <c r="E61" s="29">
        <v>87.2</v>
      </c>
      <c r="F61" s="29">
        <v>95.2</v>
      </c>
      <c r="G61" s="29">
        <v>0</v>
      </c>
      <c r="H61" s="29">
        <v>28041</v>
      </c>
      <c r="I61" s="29">
        <v>0</v>
      </c>
      <c r="J61" s="29">
        <v>103</v>
      </c>
      <c r="K61" s="29"/>
      <c r="L61" s="29"/>
      <c r="M61" s="29"/>
      <c r="N61" s="29"/>
      <c r="O61" s="29"/>
    </row>
    <row r="62" spans="1:15" x14ac:dyDescent="0.25">
      <c r="A62" s="29" t="s">
        <v>466</v>
      </c>
      <c r="B62" s="29">
        <v>1861</v>
      </c>
      <c r="C62" s="29">
        <v>1097</v>
      </c>
      <c r="D62" s="29">
        <v>2898</v>
      </c>
      <c r="E62" s="29">
        <v>11.8</v>
      </c>
      <c r="F62" s="29"/>
      <c r="G62" s="29"/>
      <c r="H62" s="29"/>
      <c r="I62" s="29"/>
      <c r="J62" s="29"/>
      <c r="K62" s="29"/>
      <c r="L62" s="29"/>
      <c r="M62" s="29"/>
      <c r="N62" s="29"/>
      <c r="O62" s="29"/>
    </row>
    <row r="63" spans="1:15" x14ac:dyDescent="0.25">
      <c r="A63" s="29" t="s">
        <v>14</v>
      </c>
      <c r="B63" s="29">
        <v>9001</v>
      </c>
      <c r="C63" s="29">
        <v>1928</v>
      </c>
      <c r="D63" s="29">
        <v>6</v>
      </c>
      <c r="E63" s="29">
        <v>6675</v>
      </c>
      <c r="F63" s="29"/>
      <c r="G63" s="29"/>
      <c r="H63" s="29"/>
      <c r="I63" s="29"/>
      <c r="J63" s="29"/>
      <c r="K63" s="29"/>
      <c r="L63" s="29"/>
      <c r="M63" s="29"/>
      <c r="N63" s="29"/>
      <c r="O63" s="29"/>
    </row>
    <row r="64" spans="1:15" x14ac:dyDescent="0.25">
      <c r="A64" s="29" t="s">
        <v>232</v>
      </c>
      <c r="B64" s="29">
        <v>51109</v>
      </c>
      <c r="C64" s="29">
        <v>7686</v>
      </c>
      <c r="D64" s="29">
        <v>2488</v>
      </c>
      <c r="E64" s="29">
        <v>9.9</v>
      </c>
      <c r="F64" s="29">
        <v>13.3</v>
      </c>
      <c r="G64" s="29">
        <v>11</v>
      </c>
      <c r="H64" s="29">
        <v>36.700000000000003</v>
      </c>
      <c r="I64" s="29">
        <v>32.200000000000003</v>
      </c>
      <c r="J64" s="29">
        <v>11.6</v>
      </c>
      <c r="K64" s="29"/>
      <c r="L64" s="29"/>
      <c r="M64" s="29"/>
      <c r="N64" s="29"/>
      <c r="O64" s="29"/>
    </row>
    <row r="65" spans="1:15" x14ac:dyDescent="0.25">
      <c r="A65" s="47">
        <v>911</v>
      </c>
      <c r="B65" s="29">
        <v>122006</v>
      </c>
      <c r="C65" s="29">
        <v>2.36</v>
      </c>
      <c r="D65" s="29">
        <v>0.92</v>
      </c>
      <c r="E65" s="29">
        <v>3.05</v>
      </c>
      <c r="F65" s="29">
        <v>4.51</v>
      </c>
      <c r="G65" s="29"/>
      <c r="H65" s="29"/>
      <c r="I65" s="29"/>
      <c r="J65" s="29"/>
      <c r="K65" s="29"/>
      <c r="L65" s="29"/>
      <c r="M65" s="29"/>
      <c r="N65" s="29"/>
      <c r="O65" s="29"/>
    </row>
    <row r="66" spans="1:15" x14ac:dyDescent="0.25">
      <c r="A66" s="29"/>
      <c r="B66" s="29"/>
      <c r="C66" s="29"/>
      <c r="D66" s="29"/>
      <c r="E66" s="29"/>
      <c r="F66" s="29"/>
      <c r="G66" s="29"/>
      <c r="H66" s="29"/>
      <c r="I66" s="29"/>
      <c r="J66" s="29"/>
      <c r="K66" s="29"/>
      <c r="L66" s="29"/>
      <c r="M66" s="29"/>
      <c r="N66" s="29"/>
      <c r="O66" s="29"/>
    </row>
    <row r="67" spans="1:15" x14ac:dyDescent="0.25">
      <c r="A67" s="29" t="s">
        <v>479</v>
      </c>
      <c r="B67" s="29"/>
      <c r="C67" s="29"/>
      <c r="D67" s="29"/>
      <c r="E67" s="29"/>
      <c r="F67" s="29"/>
      <c r="G67" s="29"/>
      <c r="H67" s="29"/>
      <c r="I67" s="29" t="s">
        <v>478</v>
      </c>
      <c r="J67" s="29"/>
      <c r="K67" s="29"/>
      <c r="L67" s="29"/>
      <c r="M67" s="29"/>
      <c r="N67" s="29"/>
      <c r="O67" s="29"/>
    </row>
    <row r="68" spans="1:15" x14ac:dyDescent="0.25">
      <c r="A68" s="50" t="s">
        <v>458</v>
      </c>
      <c r="B68" s="50">
        <v>1</v>
      </c>
      <c r="C68" s="50">
        <v>2</v>
      </c>
      <c r="D68" s="50">
        <v>3</v>
      </c>
      <c r="E68" s="50">
        <v>4</v>
      </c>
      <c r="F68" s="50">
        <v>5</v>
      </c>
      <c r="G68" s="50">
        <v>6</v>
      </c>
      <c r="H68" s="50">
        <v>7</v>
      </c>
      <c r="I68" s="50">
        <v>8</v>
      </c>
      <c r="J68" s="50">
        <v>9</v>
      </c>
      <c r="K68" s="50">
        <v>10</v>
      </c>
      <c r="L68" s="50">
        <v>11</v>
      </c>
      <c r="M68" s="50">
        <v>12</v>
      </c>
      <c r="N68" s="50">
        <v>13</v>
      </c>
      <c r="O68" s="29"/>
    </row>
    <row r="69" spans="1:15" x14ac:dyDescent="0.25">
      <c r="A69" s="29" t="s">
        <v>456</v>
      </c>
      <c r="B69" s="29">
        <v>68329</v>
      </c>
      <c r="C69" s="29">
        <v>65</v>
      </c>
      <c r="D69" s="29">
        <v>211</v>
      </c>
      <c r="E69" s="29">
        <v>44198</v>
      </c>
      <c r="F69" s="29">
        <v>68</v>
      </c>
      <c r="G69" s="29"/>
      <c r="H69" s="29"/>
      <c r="I69" s="29"/>
      <c r="J69" s="29"/>
      <c r="K69" s="29"/>
      <c r="L69" s="29"/>
      <c r="M69" s="29"/>
      <c r="N69" s="29"/>
      <c r="O69" s="29"/>
    </row>
    <row r="70" spans="1:15" x14ac:dyDescent="0.25">
      <c r="A70" s="29" t="s">
        <v>4</v>
      </c>
      <c r="B70" s="29">
        <v>10271</v>
      </c>
      <c r="C70" s="29">
        <v>21140</v>
      </c>
      <c r="D70" s="29">
        <v>49792</v>
      </c>
      <c r="E70" s="29">
        <v>19.100000000000001</v>
      </c>
      <c r="F70" s="29">
        <v>5.3</v>
      </c>
      <c r="G70" s="29"/>
      <c r="H70" s="29"/>
      <c r="I70" s="29"/>
      <c r="J70" s="29"/>
      <c r="K70" s="29"/>
      <c r="L70" s="29"/>
      <c r="M70" s="29"/>
      <c r="N70" s="29"/>
      <c r="O70" s="29"/>
    </row>
    <row r="71" spans="1:15" x14ac:dyDescent="0.25">
      <c r="A71" s="29" t="s">
        <v>235</v>
      </c>
      <c r="B71" s="29">
        <v>3925</v>
      </c>
      <c r="C71" s="29">
        <v>15.9</v>
      </c>
      <c r="D71" s="29">
        <v>2052</v>
      </c>
      <c r="E71" s="29">
        <v>340</v>
      </c>
      <c r="F71" s="29">
        <v>50</v>
      </c>
      <c r="G71" s="29">
        <v>132</v>
      </c>
      <c r="H71" s="29"/>
      <c r="I71" s="29"/>
      <c r="J71" s="29"/>
      <c r="K71" s="29"/>
      <c r="L71" s="29"/>
      <c r="M71" s="29"/>
      <c r="N71" s="29"/>
      <c r="O71" s="29"/>
    </row>
    <row r="72" spans="1:15" x14ac:dyDescent="0.25">
      <c r="A72" s="29" t="s">
        <v>459</v>
      </c>
      <c r="B72" s="29">
        <v>39784</v>
      </c>
      <c r="C72" s="29">
        <v>78185</v>
      </c>
      <c r="D72" s="29">
        <v>3217</v>
      </c>
      <c r="E72" s="29">
        <v>3201</v>
      </c>
      <c r="F72" s="29">
        <v>21.4</v>
      </c>
      <c r="G72" s="29">
        <v>38.9</v>
      </c>
      <c r="H72" s="29">
        <v>5.5</v>
      </c>
      <c r="I72" s="29">
        <v>667</v>
      </c>
      <c r="J72" s="29"/>
      <c r="K72" s="29"/>
      <c r="L72" s="29"/>
      <c r="M72" s="29"/>
      <c r="N72" s="29"/>
      <c r="O72" s="29"/>
    </row>
    <row r="73" spans="1:15" x14ac:dyDescent="0.25">
      <c r="A73" s="29" t="s">
        <v>429</v>
      </c>
      <c r="B73" s="29">
        <v>12252</v>
      </c>
      <c r="C73" s="29">
        <v>3.3</v>
      </c>
      <c r="D73" s="29">
        <v>2297</v>
      </c>
      <c r="E73" s="29">
        <v>0.62</v>
      </c>
      <c r="F73" s="29">
        <v>47.5</v>
      </c>
      <c r="G73" s="29"/>
      <c r="H73" s="29"/>
      <c r="I73" s="29"/>
      <c r="J73" s="29"/>
      <c r="K73" s="29"/>
      <c r="L73" s="29"/>
      <c r="M73" s="29"/>
      <c r="N73" s="29"/>
      <c r="O73" s="29"/>
    </row>
    <row r="74" spans="1:15" x14ac:dyDescent="0.25">
      <c r="A74" s="29" t="s">
        <v>460</v>
      </c>
      <c r="B74" s="29"/>
      <c r="C74" s="29"/>
      <c r="D74" s="29"/>
      <c r="E74" s="29"/>
      <c r="F74" s="29"/>
      <c r="G74" s="29"/>
      <c r="H74" s="29"/>
      <c r="I74" s="29"/>
      <c r="J74" s="29"/>
      <c r="K74" s="29"/>
      <c r="L74" s="29"/>
      <c r="M74" s="29"/>
      <c r="N74" s="29"/>
      <c r="O74" s="29"/>
    </row>
    <row r="75" spans="1:15" x14ac:dyDescent="0.25">
      <c r="A75" s="29" t="s">
        <v>461</v>
      </c>
      <c r="B75" s="29">
        <v>510</v>
      </c>
      <c r="C75" s="29">
        <v>111</v>
      </c>
      <c r="D75" s="29">
        <v>74</v>
      </c>
      <c r="E75" s="29">
        <v>22</v>
      </c>
      <c r="F75" s="29">
        <v>26</v>
      </c>
      <c r="G75" s="29">
        <v>7</v>
      </c>
      <c r="H75" s="29">
        <v>284</v>
      </c>
      <c r="I75" s="29"/>
      <c r="J75" s="29"/>
      <c r="K75" s="29"/>
      <c r="L75" s="29"/>
      <c r="M75" s="29"/>
      <c r="N75" s="29"/>
      <c r="O75" s="29"/>
    </row>
    <row r="76" spans="1:15" x14ac:dyDescent="0.25">
      <c r="A76" s="29" t="s">
        <v>25</v>
      </c>
      <c r="B76" s="29">
        <v>8625</v>
      </c>
      <c r="C76" s="29">
        <v>58.6</v>
      </c>
      <c r="D76" s="29">
        <v>1.67</v>
      </c>
      <c r="E76" s="29">
        <v>7.86</v>
      </c>
      <c r="F76" s="29">
        <v>3200</v>
      </c>
      <c r="G76" s="29">
        <v>26.7</v>
      </c>
      <c r="H76" s="29"/>
      <c r="I76" s="29">
        <v>28.3</v>
      </c>
      <c r="J76" s="29">
        <v>26.1</v>
      </c>
      <c r="K76" s="29">
        <v>30.7</v>
      </c>
      <c r="L76" s="29">
        <v>22.9</v>
      </c>
      <c r="M76" s="29">
        <v>24.9</v>
      </c>
      <c r="N76" s="29"/>
      <c r="O76" s="29"/>
    </row>
    <row r="77" spans="1:15" x14ac:dyDescent="0.25">
      <c r="A77" s="29" t="s">
        <v>462</v>
      </c>
      <c r="B77" s="29">
        <v>157</v>
      </c>
      <c r="C77" s="29">
        <v>768</v>
      </c>
      <c r="D77" s="29">
        <v>318</v>
      </c>
      <c r="E77" s="29">
        <v>237</v>
      </c>
      <c r="F77" s="29">
        <v>74.8</v>
      </c>
      <c r="G77" s="29">
        <v>94.9</v>
      </c>
      <c r="H77" s="29">
        <v>691</v>
      </c>
      <c r="I77" s="29">
        <v>100</v>
      </c>
      <c r="J77" s="29">
        <v>215</v>
      </c>
      <c r="K77" s="29">
        <v>238</v>
      </c>
      <c r="L77" s="29"/>
      <c r="M77" s="29"/>
      <c r="N77" s="29"/>
      <c r="O77" s="29"/>
    </row>
    <row r="78" spans="1:15" x14ac:dyDescent="0.25">
      <c r="A78" s="29" t="s">
        <v>227</v>
      </c>
      <c r="B78" s="29">
        <v>1988</v>
      </c>
      <c r="C78" s="29">
        <v>8.07</v>
      </c>
      <c r="D78" s="29">
        <v>2672</v>
      </c>
      <c r="E78" s="29">
        <v>147</v>
      </c>
      <c r="F78" s="29"/>
      <c r="G78" s="29"/>
      <c r="H78" s="29"/>
      <c r="I78" s="29"/>
      <c r="J78" s="29"/>
      <c r="K78" s="29"/>
      <c r="L78" s="29"/>
      <c r="M78" s="29"/>
      <c r="N78" s="29"/>
      <c r="O78" s="29"/>
    </row>
    <row r="79" spans="1:15" x14ac:dyDescent="0.25">
      <c r="A79" s="29" t="s">
        <v>463</v>
      </c>
      <c r="B79" s="29">
        <v>1589</v>
      </c>
      <c r="C79" s="29">
        <v>4665</v>
      </c>
      <c r="D79" s="29">
        <v>18.8</v>
      </c>
      <c r="E79" s="29">
        <v>8</v>
      </c>
      <c r="F79" s="29">
        <v>375</v>
      </c>
      <c r="G79" s="29">
        <v>1</v>
      </c>
      <c r="H79" s="29">
        <v>155</v>
      </c>
      <c r="I79" s="29">
        <v>995</v>
      </c>
      <c r="J79" s="29">
        <v>7440</v>
      </c>
      <c r="K79" s="29">
        <v>28.3</v>
      </c>
      <c r="L79" s="29">
        <v>95</v>
      </c>
      <c r="M79" s="29">
        <v>220</v>
      </c>
      <c r="N79" s="29">
        <v>5307</v>
      </c>
      <c r="O79" s="29"/>
    </row>
    <row r="80" spans="1:15" x14ac:dyDescent="0.25">
      <c r="A80" s="29" t="s">
        <v>435</v>
      </c>
      <c r="B80" s="29">
        <v>38</v>
      </c>
      <c r="C80" s="29">
        <v>9.0500000000000007</v>
      </c>
      <c r="D80" s="29">
        <v>31</v>
      </c>
      <c r="E80" s="29">
        <v>7.48</v>
      </c>
      <c r="F80" s="29">
        <v>3227</v>
      </c>
      <c r="G80" s="29">
        <v>26989</v>
      </c>
      <c r="H80" s="29"/>
      <c r="I80" s="29"/>
      <c r="J80" s="29"/>
      <c r="K80" s="29"/>
      <c r="L80" s="29"/>
      <c r="M80" s="29"/>
      <c r="N80" s="29"/>
      <c r="O80" s="29"/>
    </row>
    <row r="81" spans="1:15" x14ac:dyDescent="0.25">
      <c r="A81" s="29" t="s">
        <v>228</v>
      </c>
      <c r="B81" s="29">
        <v>2304</v>
      </c>
      <c r="C81" s="29">
        <v>281</v>
      </c>
      <c r="D81" s="29">
        <v>2445</v>
      </c>
      <c r="E81" s="29">
        <v>1374</v>
      </c>
      <c r="F81" s="29">
        <v>1342</v>
      </c>
      <c r="G81" s="29">
        <v>1.53</v>
      </c>
      <c r="H81" s="29">
        <v>31.5</v>
      </c>
      <c r="I81" s="29">
        <v>32.4</v>
      </c>
      <c r="J81" s="29">
        <v>3222</v>
      </c>
      <c r="K81" s="29">
        <v>89.2</v>
      </c>
      <c r="L81" s="29"/>
      <c r="M81" s="29"/>
      <c r="N81" s="29"/>
      <c r="O81" s="29"/>
    </row>
    <row r="82" spans="1:15" x14ac:dyDescent="0.25">
      <c r="A82" s="29" t="s">
        <v>230</v>
      </c>
      <c r="B82" s="29">
        <v>100</v>
      </c>
      <c r="C82" s="29">
        <v>100</v>
      </c>
      <c r="D82" s="29">
        <v>100</v>
      </c>
      <c r="E82" s="29">
        <v>49</v>
      </c>
      <c r="F82" s="29">
        <v>58</v>
      </c>
      <c r="G82" s="29">
        <v>112</v>
      </c>
      <c r="H82" s="29"/>
      <c r="I82" s="29"/>
      <c r="J82" s="29"/>
      <c r="K82" s="29"/>
      <c r="L82" s="29"/>
      <c r="M82" s="29"/>
      <c r="N82" s="29"/>
      <c r="O82" s="29"/>
    </row>
    <row r="83" spans="1:15" x14ac:dyDescent="0.25">
      <c r="A83" s="29" t="s">
        <v>7</v>
      </c>
      <c r="B83" s="29">
        <v>73.400000000000006</v>
      </c>
      <c r="C83" s="29">
        <v>12.9</v>
      </c>
      <c r="D83" s="29">
        <v>2084</v>
      </c>
      <c r="E83" s="29">
        <v>5.7</v>
      </c>
      <c r="F83" s="29">
        <v>2094</v>
      </c>
      <c r="G83" s="29">
        <v>66.599999999999994</v>
      </c>
      <c r="H83" s="29"/>
      <c r="I83" s="29"/>
      <c r="J83" s="29"/>
      <c r="K83" s="29"/>
      <c r="L83" s="29"/>
      <c r="M83" s="29"/>
      <c r="N83" s="29"/>
      <c r="O83" s="29"/>
    </row>
    <row r="84" spans="1:15" x14ac:dyDescent="0.25">
      <c r="A84" s="29" t="s">
        <v>8</v>
      </c>
      <c r="B84" s="29">
        <v>190288</v>
      </c>
      <c r="C84" s="29">
        <v>111973</v>
      </c>
      <c r="D84" s="29">
        <v>8552</v>
      </c>
      <c r="E84" s="29">
        <v>30437</v>
      </c>
      <c r="F84" s="29">
        <v>144869</v>
      </c>
      <c r="G84" s="29">
        <v>35186</v>
      </c>
      <c r="H84" s="29">
        <v>2.57</v>
      </c>
      <c r="I84" s="29">
        <v>3.13</v>
      </c>
      <c r="J84" s="29">
        <v>6.51</v>
      </c>
      <c r="K84" s="29">
        <v>3508</v>
      </c>
      <c r="L84" s="29">
        <v>2286</v>
      </c>
      <c r="M84" s="29">
        <v>39</v>
      </c>
      <c r="N84" s="29">
        <v>0</v>
      </c>
      <c r="O84" s="29"/>
    </row>
    <row r="85" spans="1:15" x14ac:dyDescent="0.25">
      <c r="A85" s="29" t="s">
        <v>464</v>
      </c>
      <c r="B85" s="29">
        <v>14</v>
      </c>
      <c r="C85" s="29">
        <v>14</v>
      </c>
      <c r="D85" s="29">
        <v>15</v>
      </c>
      <c r="E85" s="29">
        <v>14</v>
      </c>
      <c r="F85" s="29">
        <v>0</v>
      </c>
      <c r="G85" s="29">
        <v>0</v>
      </c>
      <c r="H85" s="29">
        <v>1240</v>
      </c>
      <c r="I85" s="29">
        <v>3.3</v>
      </c>
      <c r="J85" s="29">
        <v>3.3</v>
      </c>
      <c r="K85" s="29"/>
      <c r="L85" s="29"/>
      <c r="M85" s="29"/>
      <c r="N85" s="29"/>
      <c r="O85" s="29"/>
    </row>
    <row r="86" spans="1:15" x14ac:dyDescent="0.25">
      <c r="A86" s="29" t="s">
        <v>465</v>
      </c>
      <c r="B86" s="29">
        <v>309</v>
      </c>
      <c r="C86" s="29">
        <v>1</v>
      </c>
      <c r="D86" s="29">
        <v>381</v>
      </c>
      <c r="E86" s="29">
        <v>23</v>
      </c>
      <c r="F86" s="29">
        <v>3545</v>
      </c>
      <c r="G86" s="29">
        <v>506</v>
      </c>
      <c r="H86" s="29">
        <v>3436</v>
      </c>
      <c r="I86" s="29">
        <v>94.2</v>
      </c>
      <c r="J86" s="29">
        <v>586</v>
      </c>
      <c r="K86" s="29">
        <v>95.8</v>
      </c>
      <c r="L86" s="29">
        <v>139</v>
      </c>
      <c r="M86" s="29"/>
      <c r="N86" s="29"/>
      <c r="O86" s="29"/>
    </row>
    <row r="87" spans="1:15" x14ac:dyDescent="0.25">
      <c r="A87" s="29" t="s">
        <v>9</v>
      </c>
      <c r="B87" s="29">
        <v>2070</v>
      </c>
      <c r="C87" s="29">
        <v>1635</v>
      </c>
      <c r="D87" s="29">
        <v>4892</v>
      </c>
      <c r="E87" s="29">
        <v>755</v>
      </c>
      <c r="F87" s="29">
        <v>8.4</v>
      </c>
      <c r="G87" s="29">
        <v>243999</v>
      </c>
      <c r="H87" s="29">
        <v>215236</v>
      </c>
      <c r="I87" s="29"/>
      <c r="J87" s="29"/>
      <c r="K87" s="29"/>
      <c r="L87" s="29"/>
      <c r="M87" s="29"/>
      <c r="N87" s="29"/>
      <c r="O87" s="29"/>
    </row>
    <row r="88" spans="1:15" x14ac:dyDescent="0.25">
      <c r="A88" s="29" t="s">
        <v>61</v>
      </c>
      <c r="B88" s="29">
        <v>29</v>
      </c>
      <c r="C88" s="29">
        <v>127</v>
      </c>
      <c r="D88" s="29">
        <v>33</v>
      </c>
      <c r="E88" s="29">
        <v>1323</v>
      </c>
      <c r="F88" s="29"/>
      <c r="G88" s="29"/>
      <c r="H88" s="29"/>
      <c r="I88" s="29"/>
      <c r="J88" s="29"/>
      <c r="K88" s="29"/>
      <c r="L88" s="29"/>
      <c r="M88" s="29"/>
      <c r="N88" s="29"/>
      <c r="O88" s="29"/>
    </row>
    <row r="89" spans="1:15" x14ac:dyDescent="0.25">
      <c r="A89" s="29" t="s">
        <v>233</v>
      </c>
      <c r="B89" s="29">
        <v>286007</v>
      </c>
      <c r="C89" s="29">
        <v>53350</v>
      </c>
      <c r="D89" s="29">
        <v>16929</v>
      </c>
      <c r="E89" s="29">
        <v>3.3</v>
      </c>
      <c r="F89" s="29">
        <v>0.2</v>
      </c>
      <c r="G89" s="29">
        <v>10.18</v>
      </c>
      <c r="H89" s="29">
        <v>1.91</v>
      </c>
      <c r="I89" s="29"/>
      <c r="J89" s="29"/>
      <c r="K89" s="29"/>
      <c r="L89" s="29"/>
      <c r="M89" s="29"/>
      <c r="N89" s="29"/>
      <c r="O89" s="29"/>
    </row>
    <row r="90" spans="1:15" x14ac:dyDescent="0.25">
      <c r="A90" s="29" t="s">
        <v>10</v>
      </c>
      <c r="B90" s="29">
        <v>12785</v>
      </c>
      <c r="C90" s="29">
        <v>50</v>
      </c>
      <c r="D90" s="29">
        <v>498</v>
      </c>
      <c r="E90" s="29">
        <v>19</v>
      </c>
      <c r="F90" s="29">
        <v>27.8</v>
      </c>
      <c r="G90" s="29">
        <v>4874</v>
      </c>
      <c r="H90" s="29">
        <v>3146</v>
      </c>
      <c r="I90" s="29">
        <v>1178</v>
      </c>
      <c r="J90" s="29">
        <v>20.399999999999999</v>
      </c>
      <c r="K90" s="29">
        <v>35.299999999999997</v>
      </c>
      <c r="L90" s="29"/>
      <c r="M90" s="29"/>
      <c r="N90" s="29"/>
      <c r="O90" s="29"/>
    </row>
    <row r="91" spans="1:15" x14ac:dyDescent="0.25">
      <c r="A91" s="29" t="s">
        <v>229</v>
      </c>
      <c r="B91" s="29">
        <v>3819</v>
      </c>
      <c r="C91" s="29">
        <v>1116</v>
      </c>
      <c r="D91" s="29">
        <v>977</v>
      </c>
      <c r="E91" s="29">
        <v>840</v>
      </c>
      <c r="F91" s="29">
        <v>3.99</v>
      </c>
      <c r="G91" s="29">
        <v>21866</v>
      </c>
      <c r="H91" s="29">
        <v>88.8</v>
      </c>
      <c r="I91" s="29"/>
      <c r="J91" s="29"/>
      <c r="K91" s="29"/>
      <c r="L91" s="29"/>
      <c r="M91" s="29"/>
      <c r="N91" s="29"/>
      <c r="O91" s="29"/>
    </row>
    <row r="92" spans="1:15" x14ac:dyDescent="0.25">
      <c r="A92" s="29" t="s">
        <v>11</v>
      </c>
      <c r="B92" s="29">
        <v>890</v>
      </c>
      <c r="C92" s="29">
        <v>66.099999999999994</v>
      </c>
      <c r="D92" s="29">
        <v>7</v>
      </c>
      <c r="E92" s="29">
        <v>38.799999999999997</v>
      </c>
      <c r="F92" s="29">
        <v>49601</v>
      </c>
      <c r="G92" s="29">
        <v>201</v>
      </c>
      <c r="H92" s="29">
        <v>100</v>
      </c>
      <c r="I92" s="29">
        <v>98.6</v>
      </c>
      <c r="J92" s="29">
        <v>98.1</v>
      </c>
      <c r="K92" s="29">
        <v>99.4</v>
      </c>
      <c r="L92" s="29">
        <v>132</v>
      </c>
      <c r="M92" s="29"/>
      <c r="N92" s="29"/>
      <c r="O92" s="29"/>
    </row>
    <row r="93" spans="1:15" x14ac:dyDescent="0.25">
      <c r="A93" s="29" t="s">
        <v>12</v>
      </c>
      <c r="B93" s="29">
        <v>3</v>
      </c>
      <c r="C93" s="29">
        <v>470</v>
      </c>
      <c r="D93" s="29">
        <v>1</v>
      </c>
      <c r="E93" s="29">
        <v>98.7</v>
      </c>
      <c r="F93" s="29">
        <v>1.36</v>
      </c>
      <c r="G93" s="29">
        <v>0</v>
      </c>
      <c r="H93" s="29"/>
      <c r="I93" s="29"/>
      <c r="J93" s="29"/>
      <c r="K93" s="29"/>
      <c r="L93" s="29"/>
      <c r="M93" s="29"/>
      <c r="N93" s="29"/>
      <c r="O93" s="29"/>
    </row>
    <row r="94" spans="1:15" x14ac:dyDescent="0.25">
      <c r="A94" s="29" t="s">
        <v>13</v>
      </c>
      <c r="B94" s="29">
        <v>3385</v>
      </c>
      <c r="C94" s="29">
        <v>5161</v>
      </c>
      <c r="D94" s="29">
        <v>95.95</v>
      </c>
      <c r="E94" s="29">
        <v>86.51</v>
      </c>
      <c r="F94" s="29">
        <v>95.14</v>
      </c>
      <c r="G94" s="29">
        <v>0</v>
      </c>
      <c r="H94" s="29">
        <v>117160</v>
      </c>
      <c r="I94" s="29">
        <v>0</v>
      </c>
      <c r="J94" s="29">
        <v>353</v>
      </c>
      <c r="K94" s="29"/>
      <c r="L94" s="29"/>
      <c r="M94" s="29"/>
      <c r="N94" s="29"/>
      <c r="O94" s="29"/>
    </row>
    <row r="95" spans="1:15" x14ac:dyDescent="0.25">
      <c r="A95" s="29" t="s">
        <v>466</v>
      </c>
      <c r="B95" s="29">
        <v>2700</v>
      </c>
      <c r="C95" s="29">
        <v>1317</v>
      </c>
      <c r="D95" s="29">
        <v>4017</v>
      </c>
      <c r="E95" s="29">
        <v>16.899999999999999</v>
      </c>
      <c r="F95" s="29"/>
      <c r="G95" s="29"/>
      <c r="H95" s="29"/>
      <c r="I95" s="29"/>
      <c r="J95" s="29"/>
      <c r="K95" s="29"/>
      <c r="L95" s="29"/>
      <c r="M95" s="29"/>
      <c r="N95" s="29"/>
      <c r="O95" s="29"/>
    </row>
    <row r="96" spans="1:15" x14ac:dyDescent="0.25">
      <c r="A96" s="29" t="s">
        <v>14</v>
      </c>
      <c r="B96" s="29">
        <v>9333</v>
      </c>
      <c r="C96" s="29">
        <v>2204</v>
      </c>
      <c r="D96" s="29">
        <v>6</v>
      </c>
      <c r="E96" s="29">
        <v>6647</v>
      </c>
      <c r="F96" s="29"/>
      <c r="G96" s="29"/>
      <c r="H96" s="29"/>
      <c r="I96" s="29"/>
      <c r="J96" s="29"/>
      <c r="K96" s="29"/>
      <c r="L96" s="29"/>
      <c r="M96" s="29"/>
      <c r="N96" s="29"/>
      <c r="O96" s="29"/>
    </row>
    <row r="97" spans="1:15" x14ac:dyDescent="0.25">
      <c r="A97" s="29" t="s">
        <v>232</v>
      </c>
      <c r="B97" s="29">
        <v>53104</v>
      </c>
      <c r="C97" s="29">
        <v>7709</v>
      </c>
      <c r="D97" s="29">
        <v>2758</v>
      </c>
      <c r="E97" s="29">
        <v>11.1</v>
      </c>
      <c r="F97" s="29">
        <v>12</v>
      </c>
      <c r="G97" s="29">
        <v>4</v>
      </c>
      <c r="H97" s="29">
        <v>273</v>
      </c>
      <c r="I97" s="29">
        <v>262</v>
      </c>
      <c r="J97" s="29">
        <v>20.5</v>
      </c>
      <c r="K97" s="29"/>
      <c r="L97" s="29"/>
      <c r="M97" s="29"/>
      <c r="N97" s="29"/>
      <c r="O97" s="29"/>
    </row>
    <row r="98" spans="1:15" x14ac:dyDescent="0.25">
      <c r="A98" s="47">
        <v>911</v>
      </c>
      <c r="B98" s="29">
        <v>116332</v>
      </c>
      <c r="C98" s="29">
        <v>2.6</v>
      </c>
      <c r="D98" s="29">
        <v>0.98</v>
      </c>
      <c r="E98" s="29">
        <v>3.21</v>
      </c>
      <c r="F98" s="29">
        <v>4.3899999999999997</v>
      </c>
      <c r="G98" s="29"/>
      <c r="H98" s="29"/>
      <c r="I98" s="29"/>
      <c r="J98" s="29"/>
      <c r="K98" s="29"/>
      <c r="L98" s="29"/>
      <c r="M98" s="29"/>
      <c r="N98" s="29"/>
      <c r="O98" s="29"/>
    </row>
    <row r="99" spans="1:15" x14ac:dyDescent="0.25">
      <c r="A99" s="29"/>
      <c r="B99" s="29"/>
      <c r="C99" s="29"/>
      <c r="D99" s="29"/>
      <c r="E99" s="29"/>
      <c r="F99" s="29"/>
      <c r="G99" s="29"/>
      <c r="H99" s="29"/>
      <c r="I99" s="29"/>
      <c r="J99" s="29"/>
      <c r="K99" s="29"/>
      <c r="L99" s="29"/>
      <c r="M99" s="29"/>
      <c r="N99" s="29"/>
      <c r="O99" s="29"/>
    </row>
    <row r="100" spans="1:15" x14ac:dyDescent="0.25">
      <c r="A100" s="29"/>
      <c r="B100" s="29"/>
      <c r="C100" s="29"/>
      <c r="D100" s="29"/>
      <c r="E100" s="29"/>
      <c r="F100" s="29"/>
      <c r="G100" s="29"/>
      <c r="H100" s="29"/>
      <c r="I100" s="29"/>
      <c r="J100" s="29"/>
      <c r="K100" s="29"/>
      <c r="L100" s="29"/>
      <c r="M100" s="29"/>
      <c r="N100" s="29"/>
      <c r="O100" s="29"/>
    </row>
    <row r="101" spans="1:15" x14ac:dyDescent="0.25">
      <c r="A101" s="29" t="s">
        <v>497</v>
      </c>
      <c r="B101" s="29"/>
      <c r="C101" s="29"/>
      <c r="D101" s="29"/>
      <c r="E101" s="29"/>
      <c r="F101" s="29"/>
      <c r="G101" s="29"/>
      <c r="H101" s="29"/>
      <c r="I101" s="29" t="s">
        <v>496</v>
      </c>
      <c r="J101" s="29"/>
      <c r="K101" s="29"/>
      <c r="L101" s="29"/>
      <c r="M101" s="29"/>
      <c r="N101" s="29"/>
      <c r="O101" s="29"/>
    </row>
    <row r="102" spans="1:15" x14ac:dyDescent="0.25">
      <c r="A102" s="50" t="s">
        <v>458</v>
      </c>
      <c r="B102" s="50">
        <v>1</v>
      </c>
      <c r="C102" s="50">
        <v>2</v>
      </c>
      <c r="D102" s="50">
        <v>3</v>
      </c>
      <c r="E102" s="50">
        <v>4</v>
      </c>
      <c r="F102" s="50">
        <v>5</v>
      </c>
      <c r="G102" s="50">
        <v>6</v>
      </c>
      <c r="H102" s="50">
        <v>7</v>
      </c>
      <c r="I102" s="50">
        <v>8</v>
      </c>
      <c r="J102" s="50">
        <v>9</v>
      </c>
      <c r="K102" s="50">
        <v>10</v>
      </c>
      <c r="L102" s="50">
        <v>11</v>
      </c>
      <c r="M102" s="50">
        <v>12</v>
      </c>
      <c r="N102" s="50">
        <v>13</v>
      </c>
      <c r="O102" s="29"/>
    </row>
    <row r="103" spans="1:15" x14ac:dyDescent="0.25">
      <c r="A103" s="29" t="s">
        <v>456</v>
      </c>
      <c r="B103" s="29">
        <v>64105</v>
      </c>
      <c r="C103" s="29">
        <v>59</v>
      </c>
      <c r="D103" s="29">
        <v>203</v>
      </c>
      <c r="E103" s="29">
        <v>48691</v>
      </c>
      <c r="F103" s="29">
        <v>55</v>
      </c>
      <c r="G103" s="29"/>
      <c r="H103" s="29"/>
      <c r="I103" s="29"/>
      <c r="J103" s="29"/>
      <c r="K103" s="29"/>
      <c r="L103" s="29"/>
      <c r="M103" s="29"/>
      <c r="N103" s="29"/>
      <c r="O103" s="29"/>
    </row>
    <row r="104" spans="1:15" x14ac:dyDescent="0.25">
      <c r="A104" s="29" t="s">
        <v>4</v>
      </c>
      <c r="B104" s="29">
        <v>13200</v>
      </c>
      <c r="C104" s="29">
        <v>24813</v>
      </c>
      <c r="D104" s="29">
        <v>55283</v>
      </c>
      <c r="E104" s="29">
        <v>23</v>
      </c>
      <c r="F104" s="29">
        <v>39409</v>
      </c>
      <c r="G104" s="29">
        <v>6</v>
      </c>
      <c r="H104" s="29">
        <v>1833</v>
      </c>
      <c r="I104" s="29">
        <v>19871</v>
      </c>
      <c r="J104" s="29"/>
      <c r="K104" s="29"/>
      <c r="L104" s="29"/>
      <c r="M104" s="29"/>
      <c r="N104" s="29"/>
      <c r="O104" s="29"/>
    </row>
    <row r="105" spans="1:15" x14ac:dyDescent="0.25">
      <c r="A105" s="29" t="s">
        <v>235</v>
      </c>
      <c r="B105" s="29">
        <v>3690</v>
      </c>
      <c r="C105" s="29">
        <v>14.9</v>
      </c>
      <c r="D105" s="29">
        <v>1755</v>
      </c>
      <c r="E105" s="29">
        <v>309</v>
      </c>
      <c r="F105" s="29">
        <v>22</v>
      </c>
      <c r="G105" s="29">
        <v>185</v>
      </c>
      <c r="H105" s="29"/>
      <c r="I105" s="29"/>
      <c r="J105" s="29"/>
      <c r="K105" s="29"/>
      <c r="L105" s="29"/>
      <c r="M105" s="29"/>
      <c r="N105" s="29"/>
      <c r="O105" s="29"/>
    </row>
    <row r="106" spans="1:15" x14ac:dyDescent="0.25">
      <c r="A106" s="29" t="s">
        <v>459</v>
      </c>
      <c r="B106" s="29">
        <v>39765</v>
      </c>
      <c r="C106" s="29">
        <v>37706</v>
      </c>
      <c r="D106" s="29">
        <v>1285</v>
      </c>
      <c r="E106" s="29">
        <v>1086</v>
      </c>
      <c r="F106" s="29">
        <v>4.5</v>
      </c>
      <c r="G106" s="29">
        <v>17.8</v>
      </c>
      <c r="H106" s="29">
        <v>3.7</v>
      </c>
      <c r="I106" s="29">
        <v>234</v>
      </c>
      <c r="J106" s="29"/>
      <c r="K106" s="29"/>
      <c r="L106" s="29"/>
      <c r="M106" s="29"/>
      <c r="N106" s="29"/>
      <c r="O106" s="29"/>
    </row>
    <row r="107" spans="1:15" x14ac:dyDescent="0.25">
      <c r="A107" s="29" t="s">
        <v>429</v>
      </c>
      <c r="B107" s="29">
        <v>11609</v>
      </c>
      <c r="C107" s="29">
        <v>3.15</v>
      </c>
      <c r="D107" s="29">
        <v>2504</v>
      </c>
      <c r="E107" s="29">
        <v>0.68</v>
      </c>
      <c r="F107" s="29">
        <v>32.1</v>
      </c>
      <c r="G107" s="29"/>
      <c r="H107" s="29"/>
      <c r="I107" s="29"/>
      <c r="J107" s="29"/>
      <c r="K107" s="29"/>
      <c r="L107" s="29"/>
      <c r="M107" s="29"/>
      <c r="N107" s="29"/>
      <c r="O107" s="29"/>
    </row>
    <row r="108" spans="1:15" x14ac:dyDescent="0.25">
      <c r="A108" s="29" t="s">
        <v>460</v>
      </c>
      <c r="B108" s="29"/>
      <c r="C108" s="29"/>
      <c r="D108" s="29"/>
      <c r="E108" s="29"/>
      <c r="F108" s="29"/>
      <c r="G108" s="29"/>
      <c r="H108" s="29"/>
      <c r="I108" s="29"/>
      <c r="J108" s="29"/>
      <c r="K108" s="29"/>
      <c r="L108" s="29"/>
      <c r="M108" s="29"/>
      <c r="N108" s="29"/>
      <c r="O108" s="29"/>
    </row>
    <row r="109" spans="1:15" x14ac:dyDescent="0.25">
      <c r="A109" s="29" t="s">
        <v>461</v>
      </c>
      <c r="B109" s="29">
        <v>462</v>
      </c>
      <c r="C109" s="29">
        <v>92</v>
      </c>
      <c r="D109" s="29">
        <v>81</v>
      </c>
      <c r="E109" s="29">
        <v>28</v>
      </c>
      <c r="F109" s="29">
        <v>15</v>
      </c>
      <c r="G109" s="29">
        <v>9</v>
      </c>
      <c r="H109" s="29">
        <v>260</v>
      </c>
      <c r="I109" s="29"/>
      <c r="J109" s="29"/>
      <c r="K109" s="29"/>
      <c r="L109" s="29"/>
      <c r="M109" s="29"/>
      <c r="N109" s="29"/>
      <c r="O109" s="29"/>
    </row>
    <row r="110" spans="1:15" x14ac:dyDescent="0.25">
      <c r="A110" s="29" t="s">
        <v>25</v>
      </c>
      <c r="B110" s="29">
        <v>8619</v>
      </c>
      <c r="C110" s="29">
        <v>62.6</v>
      </c>
      <c r="D110" s="29">
        <v>1.73</v>
      </c>
      <c r="E110" s="29">
        <v>8.1999999999999993</v>
      </c>
      <c r="F110" s="29">
        <v>2923</v>
      </c>
      <c r="G110" s="29">
        <v>23</v>
      </c>
      <c r="H110" s="29">
        <v>0</v>
      </c>
      <c r="I110" s="29">
        <v>27</v>
      </c>
      <c r="J110" s="29">
        <v>25</v>
      </c>
      <c r="K110" s="29">
        <v>23</v>
      </c>
      <c r="L110" s="29">
        <v>23</v>
      </c>
      <c r="M110" s="29">
        <v>21</v>
      </c>
      <c r="N110" s="29">
        <v>12</v>
      </c>
      <c r="O110" s="29"/>
    </row>
    <row r="111" spans="1:15" x14ac:dyDescent="0.25">
      <c r="A111" s="29" t="s">
        <v>462</v>
      </c>
      <c r="B111" s="29">
        <v>161</v>
      </c>
      <c r="C111" s="29">
        <v>721</v>
      </c>
      <c r="D111" s="29">
        <v>278</v>
      </c>
      <c r="E111" s="29">
        <v>274</v>
      </c>
      <c r="F111" s="29">
        <v>70.3</v>
      </c>
      <c r="G111" s="29">
        <v>96.1</v>
      </c>
      <c r="H111" s="29">
        <v>1205</v>
      </c>
      <c r="I111" s="29">
        <v>96.9</v>
      </c>
      <c r="J111" s="29">
        <v>212</v>
      </c>
      <c r="K111" s="29">
        <v>202</v>
      </c>
      <c r="L111" s="29"/>
      <c r="M111" s="29"/>
      <c r="N111" s="29"/>
      <c r="O111" s="29"/>
    </row>
    <row r="112" spans="1:15" x14ac:dyDescent="0.25">
      <c r="A112" s="29" t="s">
        <v>227</v>
      </c>
      <c r="B112" s="29">
        <v>1920</v>
      </c>
      <c r="C112" s="29">
        <v>7.79</v>
      </c>
      <c r="D112" s="29">
        <v>3209</v>
      </c>
      <c r="E112" s="29">
        <v>261</v>
      </c>
      <c r="F112" s="29"/>
      <c r="G112" s="29"/>
      <c r="H112" s="29"/>
      <c r="I112" s="29"/>
      <c r="J112" s="29"/>
      <c r="K112" s="29"/>
      <c r="L112" s="29"/>
      <c r="M112" s="29"/>
      <c r="N112" s="29"/>
      <c r="O112" s="29"/>
    </row>
    <row r="113" spans="1:15" x14ac:dyDescent="0.25">
      <c r="A113" s="29" t="s">
        <v>463</v>
      </c>
      <c r="B113" s="29">
        <v>2121</v>
      </c>
      <c r="C113" s="29">
        <v>4881</v>
      </c>
      <c r="D113" s="29">
        <v>19.8</v>
      </c>
      <c r="E113" s="29">
        <v>9</v>
      </c>
      <c r="F113" s="29">
        <v>396</v>
      </c>
      <c r="G113" s="29">
        <v>4</v>
      </c>
      <c r="H113" s="29">
        <v>262</v>
      </c>
      <c r="I113" s="29">
        <v>899</v>
      </c>
      <c r="J113" s="29">
        <v>7319</v>
      </c>
      <c r="K113" s="29">
        <v>30.3</v>
      </c>
      <c r="L113" s="29">
        <v>108</v>
      </c>
      <c r="M113" s="29">
        <v>193</v>
      </c>
      <c r="N113" s="29">
        <v>6022</v>
      </c>
      <c r="O113" s="29"/>
    </row>
    <row r="114" spans="1:15" x14ac:dyDescent="0.25">
      <c r="A114" s="29" t="s">
        <v>435</v>
      </c>
      <c r="B114" s="29">
        <v>47</v>
      </c>
      <c r="C114" s="29">
        <v>11.3</v>
      </c>
      <c r="D114" s="29">
        <v>31</v>
      </c>
      <c r="E114" s="29">
        <v>7.3</v>
      </c>
      <c r="F114" s="29">
        <v>2491</v>
      </c>
      <c r="G114" s="29">
        <v>22151</v>
      </c>
      <c r="H114" s="29"/>
      <c r="I114" s="29"/>
      <c r="J114" s="29"/>
      <c r="K114" s="29"/>
      <c r="L114" s="29"/>
      <c r="M114" s="29"/>
      <c r="N114" s="29"/>
      <c r="O114" s="29"/>
    </row>
    <row r="115" spans="1:15" x14ac:dyDescent="0.25">
      <c r="A115" s="29" t="s">
        <v>228</v>
      </c>
      <c r="B115" s="29">
        <v>2277</v>
      </c>
      <c r="C115" s="29">
        <v>311</v>
      </c>
      <c r="D115" s="29">
        <v>1864</v>
      </c>
      <c r="E115" s="29">
        <v>1392</v>
      </c>
      <c r="F115" s="29">
        <v>1851</v>
      </c>
      <c r="G115" s="29">
        <v>73</v>
      </c>
      <c r="H115" s="29">
        <v>1.41</v>
      </c>
      <c r="I115" s="29">
        <v>31.2</v>
      </c>
      <c r="J115" s="29">
        <v>27.8</v>
      </c>
      <c r="K115" s="29">
        <v>2803</v>
      </c>
      <c r="L115" s="29">
        <v>91.2</v>
      </c>
      <c r="M115" s="29"/>
      <c r="N115" s="29"/>
      <c r="O115" s="29"/>
    </row>
    <row r="116" spans="1:15" x14ac:dyDescent="0.25">
      <c r="A116" s="29" t="s">
        <v>230</v>
      </c>
      <c r="B116" s="29">
        <v>99.99</v>
      </c>
      <c r="C116" s="29">
        <v>99.99</v>
      </c>
      <c r="D116" s="29">
        <v>99.99</v>
      </c>
      <c r="E116" s="29">
        <v>49.6</v>
      </c>
      <c r="F116" s="29">
        <v>62.8</v>
      </c>
      <c r="G116" s="29">
        <v>86</v>
      </c>
      <c r="H116" s="29"/>
      <c r="I116" s="29"/>
      <c r="J116" s="29"/>
      <c r="K116" s="29"/>
      <c r="L116" s="29"/>
      <c r="M116" s="29"/>
      <c r="N116" s="29"/>
      <c r="O116" s="29"/>
    </row>
    <row r="117" spans="1:15" x14ac:dyDescent="0.25">
      <c r="A117" s="29" t="s">
        <v>7</v>
      </c>
      <c r="B117" s="29">
        <v>76.099999999999994</v>
      </c>
      <c r="C117" s="29">
        <v>13.9</v>
      </c>
      <c r="D117" s="29">
        <v>2032</v>
      </c>
      <c r="E117" s="29">
        <v>5.6</v>
      </c>
      <c r="F117" s="29">
        <v>2036</v>
      </c>
      <c r="G117" s="29">
        <v>67.3</v>
      </c>
      <c r="H117" s="29"/>
      <c r="I117" s="29"/>
      <c r="J117" s="29"/>
      <c r="K117" s="29"/>
      <c r="L117" s="29"/>
      <c r="M117" s="29"/>
      <c r="N117" s="29"/>
      <c r="O117" s="29"/>
    </row>
    <row r="118" spans="1:15" x14ac:dyDescent="0.25">
      <c r="A118" s="29" t="s">
        <v>8</v>
      </c>
      <c r="B118" s="29">
        <v>186490</v>
      </c>
      <c r="C118" s="29">
        <v>98472</v>
      </c>
      <c r="D118" s="29">
        <v>6174</v>
      </c>
      <c r="E118" s="29">
        <v>25701</v>
      </c>
      <c r="F118" s="29">
        <v>150493</v>
      </c>
      <c r="G118" s="29">
        <v>38797</v>
      </c>
      <c r="H118" s="29">
        <v>2.64</v>
      </c>
      <c r="I118" s="29">
        <v>3.27</v>
      </c>
      <c r="J118" s="29">
        <v>6.31</v>
      </c>
      <c r="K118" s="29">
        <v>2794</v>
      </c>
      <c r="L118" s="29">
        <v>1250</v>
      </c>
      <c r="M118" s="29">
        <v>37</v>
      </c>
      <c r="N118" s="29">
        <v>0</v>
      </c>
      <c r="O118" s="29"/>
    </row>
    <row r="119" spans="1:15" x14ac:dyDescent="0.25">
      <c r="A119" s="29" t="s">
        <v>464</v>
      </c>
      <c r="B119" s="29">
        <v>22</v>
      </c>
      <c r="C119" s="29">
        <v>22</v>
      </c>
      <c r="D119" s="29">
        <v>22</v>
      </c>
      <c r="E119" s="29">
        <v>21</v>
      </c>
      <c r="F119" s="29">
        <v>1</v>
      </c>
      <c r="G119" s="29">
        <v>5</v>
      </c>
      <c r="H119" s="29">
        <v>0</v>
      </c>
      <c r="I119" s="29">
        <v>469</v>
      </c>
      <c r="J119" s="29">
        <v>12</v>
      </c>
      <c r="K119" s="29">
        <v>12</v>
      </c>
      <c r="L119" s="29"/>
      <c r="M119" s="29"/>
      <c r="N119" s="29"/>
      <c r="O119" s="29"/>
    </row>
    <row r="120" spans="1:15" x14ac:dyDescent="0.25">
      <c r="A120" s="29" t="s">
        <v>465</v>
      </c>
      <c r="B120" s="29">
        <v>364</v>
      </c>
      <c r="C120" s="29">
        <v>3</v>
      </c>
      <c r="D120" s="29">
        <v>487</v>
      </c>
      <c r="E120" s="29">
        <v>34</v>
      </c>
      <c r="F120" s="29">
        <v>4207</v>
      </c>
      <c r="G120" s="29">
        <v>821</v>
      </c>
      <c r="H120" s="29">
        <v>3933</v>
      </c>
      <c r="I120" s="29">
        <v>97.9</v>
      </c>
      <c r="J120" s="29">
        <v>617</v>
      </c>
      <c r="K120" s="29">
        <v>98.3</v>
      </c>
      <c r="L120" s="29">
        <v>109</v>
      </c>
      <c r="M120" s="29"/>
      <c r="N120" s="29"/>
      <c r="O120" s="29"/>
    </row>
    <row r="121" spans="1:15" x14ac:dyDescent="0.25">
      <c r="A121" s="29" t="s">
        <v>9</v>
      </c>
      <c r="B121" s="29">
        <v>1632</v>
      </c>
      <c r="C121" s="29">
        <v>1529</v>
      </c>
      <c r="D121" s="29">
        <v>4934</v>
      </c>
      <c r="E121" s="29">
        <v>702</v>
      </c>
      <c r="F121" s="29">
        <v>6.6</v>
      </c>
      <c r="G121" s="29">
        <v>219690</v>
      </c>
      <c r="H121" s="29">
        <v>222193</v>
      </c>
      <c r="I121" s="29"/>
      <c r="J121" s="29"/>
      <c r="K121" s="29"/>
      <c r="L121" s="29"/>
      <c r="M121" s="29"/>
      <c r="N121" s="29"/>
      <c r="O121" s="29"/>
    </row>
    <row r="122" spans="1:15" x14ac:dyDescent="0.25">
      <c r="A122" s="29" t="s">
        <v>61</v>
      </c>
      <c r="B122" s="29">
        <v>80</v>
      </c>
      <c r="C122" s="29">
        <v>177</v>
      </c>
      <c r="D122" s="29">
        <v>51</v>
      </c>
      <c r="E122" s="29">
        <v>1052</v>
      </c>
      <c r="F122" s="29"/>
      <c r="G122" s="29"/>
      <c r="H122" s="29"/>
      <c r="I122" s="29"/>
      <c r="J122" s="29"/>
      <c r="K122" s="29"/>
      <c r="L122" s="29"/>
      <c r="M122" s="29"/>
      <c r="N122" s="29"/>
      <c r="O122" s="29"/>
    </row>
    <row r="123" spans="1:15" x14ac:dyDescent="0.25">
      <c r="A123" s="29" t="s">
        <v>233</v>
      </c>
      <c r="B123" s="29">
        <v>285806</v>
      </c>
      <c r="C123" s="29">
        <v>47491</v>
      </c>
      <c r="D123" s="29">
        <v>16268</v>
      </c>
      <c r="E123" s="29">
        <v>2.92</v>
      </c>
      <c r="F123" s="29">
        <v>0.16</v>
      </c>
      <c r="G123" s="29">
        <v>11.32</v>
      </c>
      <c r="H123" s="29">
        <v>1.94</v>
      </c>
      <c r="I123" s="29"/>
      <c r="J123" s="29"/>
      <c r="K123" s="29"/>
      <c r="L123" s="29"/>
      <c r="M123" s="29"/>
      <c r="N123" s="29"/>
      <c r="O123" s="29"/>
    </row>
    <row r="124" spans="1:15" x14ac:dyDescent="0.25">
      <c r="A124" s="29" t="s">
        <v>10</v>
      </c>
      <c r="B124" s="29">
        <v>12548</v>
      </c>
      <c r="C124" s="29">
        <v>52</v>
      </c>
      <c r="D124" s="29">
        <v>595</v>
      </c>
      <c r="E124" s="29">
        <v>39</v>
      </c>
      <c r="F124" s="29">
        <v>24.1</v>
      </c>
      <c r="G124" s="29">
        <v>4628</v>
      </c>
      <c r="H124" s="29">
        <v>1532</v>
      </c>
      <c r="I124" s="29">
        <v>1055</v>
      </c>
      <c r="J124" s="29">
        <v>20.5</v>
      </c>
      <c r="K124" s="29">
        <v>34.4</v>
      </c>
      <c r="L124" s="29"/>
      <c r="M124" s="29"/>
      <c r="N124" s="29"/>
      <c r="O124" s="29"/>
    </row>
    <row r="125" spans="1:15" x14ac:dyDescent="0.25">
      <c r="A125" s="29" t="s">
        <v>229</v>
      </c>
      <c r="B125" s="29">
        <v>3470</v>
      </c>
      <c r="C125" s="29">
        <v>1117</v>
      </c>
      <c r="D125" s="29">
        <v>1006</v>
      </c>
      <c r="E125" s="29">
        <v>510</v>
      </c>
      <c r="F125" s="29">
        <v>4.45</v>
      </c>
      <c r="G125" s="29">
        <v>22926</v>
      </c>
      <c r="H125" s="29">
        <v>93.5</v>
      </c>
      <c r="I125" s="29"/>
      <c r="J125" s="29"/>
      <c r="K125" s="29"/>
      <c r="L125" s="29"/>
      <c r="M125" s="29"/>
      <c r="N125" s="29"/>
      <c r="O125" s="29"/>
    </row>
    <row r="126" spans="1:15" x14ac:dyDescent="0.25">
      <c r="A126" s="29" t="s">
        <v>11</v>
      </c>
      <c r="B126" s="29">
        <v>936</v>
      </c>
      <c r="C126" s="29">
        <v>66.040000000000006</v>
      </c>
      <c r="D126" s="29">
        <v>2.1</v>
      </c>
      <c r="E126" s="29">
        <v>23.2</v>
      </c>
      <c r="F126" s="29">
        <v>47271</v>
      </c>
      <c r="G126" s="29">
        <v>193</v>
      </c>
      <c r="H126" s="29">
        <v>97.5</v>
      </c>
      <c r="I126" s="29">
        <v>89.5</v>
      </c>
      <c r="J126" s="29">
        <v>84.8</v>
      </c>
      <c r="K126" s="29">
        <v>97.7</v>
      </c>
      <c r="L126" s="29">
        <v>156</v>
      </c>
      <c r="M126" s="29"/>
      <c r="N126" s="29"/>
      <c r="O126" s="29"/>
    </row>
    <row r="127" spans="1:15" x14ac:dyDescent="0.25">
      <c r="A127" s="29" t="s">
        <v>12</v>
      </c>
      <c r="B127" s="29">
        <v>1</v>
      </c>
      <c r="C127" s="29">
        <v>560</v>
      </c>
      <c r="D127" s="29">
        <v>0</v>
      </c>
      <c r="E127" s="29">
        <v>95.5</v>
      </c>
      <c r="F127" s="29">
        <v>14.1</v>
      </c>
      <c r="G127" s="29">
        <v>0</v>
      </c>
      <c r="H127" s="29"/>
      <c r="I127" s="29"/>
      <c r="J127" s="29"/>
      <c r="K127" s="29"/>
      <c r="L127" s="29"/>
      <c r="M127" s="29"/>
      <c r="N127" s="29"/>
      <c r="O127" s="29"/>
    </row>
    <row r="128" spans="1:15" x14ac:dyDescent="0.25">
      <c r="A128" s="29" t="s">
        <v>13</v>
      </c>
      <c r="B128" s="29">
        <v>3966</v>
      </c>
      <c r="C128" s="29">
        <v>5186</v>
      </c>
      <c r="D128" s="29">
        <v>95.99</v>
      </c>
      <c r="E128" s="29">
        <v>91.18</v>
      </c>
      <c r="F128" s="29">
        <v>95.71</v>
      </c>
      <c r="G128" s="29">
        <v>0</v>
      </c>
      <c r="H128" s="29">
        <v>212087</v>
      </c>
      <c r="I128" s="29">
        <v>0</v>
      </c>
      <c r="J128" s="29">
        <v>245</v>
      </c>
      <c r="K128" s="29"/>
      <c r="L128" s="29"/>
      <c r="M128" s="29"/>
      <c r="N128" s="29"/>
      <c r="O128" s="29"/>
    </row>
    <row r="129" spans="1:15" x14ac:dyDescent="0.25">
      <c r="A129" s="29" t="s">
        <v>466</v>
      </c>
      <c r="B129" s="29">
        <v>2716</v>
      </c>
      <c r="C129" s="29">
        <v>1274</v>
      </c>
      <c r="D129" s="29">
        <v>3990</v>
      </c>
      <c r="E129" s="29">
        <v>16.100000000000001</v>
      </c>
      <c r="F129" s="29">
        <v>81</v>
      </c>
      <c r="G129" s="29">
        <v>1112321</v>
      </c>
      <c r="H129" s="29">
        <v>111298</v>
      </c>
      <c r="I129" s="29">
        <v>0</v>
      </c>
      <c r="J129" s="29"/>
      <c r="K129" s="29"/>
      <c r="L129" s="29"/>
      <c r="M129" s="29"/>
      <c r="N129" s="29"/>
      <c r="O129" s="29"/>
    </row>
    <row r="130" spans="1:15" x14ac:dyDescent="0.25">
      <c r="A130" s="29" t="s">
        <v>14</v>
      </c>
      <c r="B130" s="29">
        <v>9084</v>
      </c>
      <c r="C130" s="29">
        <v>2113</v>
      </c>
      <c r="D130" s="29">
        <v>6.1</v>
      </c>
      <c r="E130" s="29">
        <v>6512</v>
      </c>
      <c r="F130" s="29"/>
      <c r="G130" s="29"/>
      <c r="H130" s="29"/>
      <c r="I130" s="29"/>
      <c r="J130" s="29"/>
      <c r="K130" s="29"/>
      <c r="L130" s="29"/>
      <c r="M130" s="29"/>
      <c r="N130" s="29"/>
      <c r="O130" s="29"/>
    </row>
    <row r="131" spans="1:15" x14ac:dyDescent="0.25">
      <c r="A131" s="29" t="s">
        <v>232</v>
      </c>
      <c r="B131" s="29">
        <v>55957</v>
      </c>
      <c r="C131" s="29">
        <v>7732</v>
      </c>
      <c r="D131" s="29">
        <v>2585</v>
      </c>
      <c r="E131" s="29">
        <v>10.5</v>
      </c>
      <c r="F131" s="29">
        <v>10.1</v>
      </c>
      <c r="G131" s="29">
        <v>1.4</v>
      </c>
      <c r="H131" s="29">
        <v>403.8</v>
      </c>
      <c r="I131" s="29">
        <v>304.60000000000002</v>
      </c>
      <c r="J131" s="29">
        <v>24.8</v>
      </c>
      <c r="K131" s="29"/>
      <c r="L131" s="29"/>
      <c r="M131" s="29"/>
      <c r="N131" s="29"/>
      <c r="O131" s="29"/>
    </row>
    <row r="132" spans="1:15" x14ac:dyDescent="0.25">
      <c r="A132" s="47">
        <v>911</v>
      </c>
      <c r="B132" s="29">
        <v>115869</v>
      </c>
      <c r="C132" s="29">
        <v>3.33</v>
      </c>
      <c r="D132" s="29">
        <v>1</v>
      </c>
      <c r="E132" s="29">
        <v>2.67</v>
      </c>
      <c r="F132" s="29">
        <v>4.41</v>
      </c>
      <c r="G132" s="29">
        <v>94.12</v>
      </c>
      <c r="H132" s="29"/>
      <c r="I132" s="29"/>
      <c r="J132" s="29"/>
      <c r="K132" s="29"/>
      <c r="L132" s="29"/>
      <c r="M132" s="29"/>
      <c r="N132" s="29"/>
      <c r="O132" s="29"/>
    </row>
    <row r="133" spans="1:15" x14ac:dyDescent="0.25">
      <c r="A133" s="29" t="s">
        <v>498</v>
      </c>
      <c r="B133" s="29">
        <v>21</v>
      </c>
      <c r="C133" s="29">
        <v>44</v>
      </c>
      <c r="D133" s="29">
        <v>26</v>
      </c>
      <c r="E133" s="29">
        <v>29</v>
      </c>
      <c r="F133" s="29">
        <v>38</v>
      </c>
      <c r="G133" s="29">
        <v>6</v>
      </c>
      <c r="H133" s="29">
        <v>122</v>
      </c>
      <c r="I133" s="29"/>
      <c r="J133" s="29"/>
      <c r="K133" s="29"/>
      <c r="L133" s="29"/>
      <c r="M133" s="29"/>
      <c r="N133" s="29"/>
      <c r="O133" s="29"/>
    </row>
    <row r="134" spans="1:15" x14ac:dyDescent="0.25">
      <c r="A134" s="29"/>
      <c r="B134" s="29"/>
      <c r="C134" s="29"/>
      <c r="D134" s="29"/>
      <c r="E134" s="29"/>
      <c r="F134" s="29"/>
      <c r="G134" s="29"/>
      <c r="H134" s="29"/>
      <c r="I134" s="29"/>
      <c r="J134" s="29"/>
      <c r="K134" s="29"/>
      <c r="L134" s="29"/>
      <c r="M134" s="29"/>
      <c r="N134" s="29"/>
      <c r="O134" s="29"/>
    </row>
    <row r="135" spans="1:15" x14ac:dyDescent="0.25">
      <c r="A135" s="29"/>
      <c r="B135" s="29">
        <f>AVERAGE(B114,B80,B47,B14)</f>
        <v>41.75</v>
      </c>
      <c r="C135" s="29">
        <f t="shared" ref="C135:G135" si="1">AVERAGE(C114,C80,C47,C14)</f>
        <v>9.7624999999999993</v>
      </c>
      <c r="D135" s="29">
        <f t="shared" si="1"/>
        <v>28.5</v>
      </c>
      <c r="E135" s="29">
        <f t="shared" si="1"/>
        <v>6.4450000000000003</v>
      </c>
      <c r="F135" s="29">
        <f t="shared" si="1"/>
        <v>3156.5</v>
      </c>
      <c r="G135" s="29">
        <f t="shared" si="1"/>
        <v>24761.5</v>
      </c>
      <c r="H135" s="29"/>
      <c r="I135" s="29"/>
      <c r="J135" s="29"/>
      <c r="K135" s="29"/>
      <c r="L135" s="29"/>
      <c r="M135" s="29"/>
      <c r="N135" s="29"/>
      <c r="O135" s="29"/>
    </row>
    <row r="136" spans="1:15" x14ac:dyDescent="0.25">
      <c r="A136" s="29"/>
      <c r="B136" s="29"/>
      <c r="C136" s="29"/>
      <c r="D136" s="29"/>
      <c r="E136" s="29"/>
      <c r="F136" s="29"/>
      <c r="G136" s="29"/>
      <c r="H136" s="29"/>
      <c r="I136" s="29"/>
      <c r="J136" s="29"/>
      <c r="K136" s="29"/>
      <c r="L136" s="29"/>
      <c r="M136" s="29"/>
      <c r="N136" s="29"/>
      <c r="O136" s="29"/>
    </row>
    <row r="137" spans="1:15" x14ac:dyDescent="0.25">
      <c r="A137" s="29"/>
      <c r="B137" s="29"/>
      <c r="C137" s="29"/>
      <c r="D137" s="29"/>
      <c r="E137" s="29"/>
      <c r="F137" s="29"/>
      <c r="G137" s="29"/>
      <c r="H137" s="29"/>
      <c r="I137" s="29"/>
      <c r="J137" s="29"/>
      <c r="K137" s="29"/>
      <c r="L137" s="29"/>
      <c r="M137" s="29"/>
      <c r="N137" s="29"/>
      <c r="O137" s="29"/>
    </row>
    <row r="138" spans="1:15" x14ac:dyDescent="0.25">
      <c r="A138" s="29"/>
      <c r="B138" s="29"/>
      <c r="C138" s="29"/>
      <c r="D138" s="29"/>
      <c r="E138" s="29"/>
      <c r="F138" s="29"/>
      <c r="G138" s="29"/>
      <c r="H138" s="29"/>
      <c r="I138" s="29"/>
      <c r="J138" s="29"/>
      <c r="K138" s="29"/>
      <c r="L138" s="29"/>
      <c r="M138" s="29"/>
      <c r="N138" s="29"/>
      <c r="O138" s="29"/>
    </row>
    <row r="139" spans="1:15" x14ac:dyDescent="0.25">
      <c r="A139" s="29"/>
      <c r="B139" s="29"/>
      <c r="C139" s="29"/>
      <c r="D139" s="29"/>
      <c r="E139" s="29"/>
      <c r="F139" s="29"/>
      <c r="G139" s="29"/>
      <c r="H139" s="29"/>
      <c r="I139" s="29"/>
      <c r="J139" s="29"/>
      <c r="K139" s="29"/>
      <c r="L139" s="29"/>
      <c r="M139" s="29"/>
      <c r="N139" s="29"/>
      <c r="O139" s="29"/>
    </row>
    <row r="140" spans="1:15" x14ac:dyDescent="0.25">
      <c r="A140" s="29"/>
      <c r="B140" s="29"/>
      <c r="C140" s="29"/>
      <c r="D140" s="29"/>
      <c r="E140" s="29"/>
      <c r="F140" s="29"/>
      <c r="G140" s="29"/>
      <c r="H140" s="29"/>
      <c r="I140" s="29"/>
      <c r="J140" s="29"/>
      <c r="K140" s="29"/>
      <c r="L140" s="29"/>
      <c r="M140" s="29"/>
      <c r="N140" s="29"/>
      <c r="O140" s="29"/>
    </row>
    <row r="141" spans="1:15" x14ac:dyDescent="0.25">
      <c r="A141" s="29"/>
      <c r="B141" s="29"/>
      <c r="C141" s="29"/>
      <c r="D141" s="29"/>
      <c r="E141" s="29"/>
      <c r="F141" s="29"/>
      <c r="G141" s="29"/>
      <c r="H141" s="29"/>
      <c r="I141" s="29"/>
      <c r="J141" s="29"/>
      <c r="K141" s="29"/>
      <c r="L141" s="29"/>
      <c r="M141" s="29"/>
      <c r="N141" s="29"/>
      <c r="O141" s="29"/>
    </row>
    <row r="142" spans="1:15" x14ac:dyDescent="0.25">
      <c r="A142" s="29"/>
      <c r="B142" s="29"/>
      <c r="C142" s="29"/>
      <c r="D142" s="29"/>
      <c r="E142" s="29"/>
      <c r="F142" s="29"/>
      <c r="G142" s="29"/>
      <c r="H142" s="29"/>
      <c r="I142" s="29"/>
      <c r="J142" s="29"/>
      <c r="K142" s="29"/>
      <c r="L142" s="29"/>
      <c r="M142" s="29"/>
      <c r="N142" s="29"/>
      <c r="O142" s="29"/>
    </row>
    <row r="143" spans="1:15" x14ac:dyDescent="0.25">
      <c r="A143" s="29"/>
      <c r="B143" s="29"/>
      <c r="C143" s="29"/>
      <c r="D143" s="29"/>
      <c r="E143" s="29"/>
      <c r="F143" s="29"/>
      <c r="G143" s="29"/>
      <c r="H143" s="29"/>
      <c r="I143" s="29"/>
      <c r="J143" s="29"/>
      <c r="K143" s="29"/>
      <c r="L143" s="29"/>
      <c r="M143" s="29"/>
      <c r="N143" s="29"/>
      <c r="O143" s="29"/>
    </row>
    <row r="144" spans="1:15" x14ac:dyDescent="0.25">
      <c r="A144" s="29"/>
      <c r="B144" s="29"/>
      <c r="C144" s="29"/>
      <c r="D144" s="29"/>
      <c r="E144" s="29"/>
      <c r="F144" s="29"/>
      <c r="G144" s="29"/>
      <c r="H144" s="29"/>
      <c r="I144" s="29"/>
      <c r="J144" s="29"/>
      <c r="K144" s="29"/>
      <c r="L144" s="29"/>
      <c r="M144" s="29"/>
      <c r="N144" s="29"/>
      <c r="O144" s="29"/>
    </row>
    <row r="145" spans="1:15" x14ac:dyDescent="0.25">
      <c r="A145" s="29"/>
      <c r="B145" s="29"/>
      <c r="C145" s="29"/>
      <c r="D145" s="29"/>
      <c r="E145" s="29"/>
      <c r="F145" s="29"/>
      <c r="G145" s="29"/>
      <c r="H145" s="29"/>
      <c r="I145" s="29"/>
      <c r="J145" s="29"/>
      <c r="K145" s="29"/>
      <c r="L145" s="29"/>
      <c r="M145" s="29"/>
      <c r="N145" s="29"/>
      <c r="O145" s="29"/>
    </row>
    <row r="146" spans="1:15" x14ac:dyDescent="0.25">
      <c r="A146" s="29"/>
      <c r="B146" s="29"/>
      <c r="C146" s="29"/>
      <c r="D146" s="29"/>
      <c r="E146" s="29"/>
      <c r="F146" s="29"/>
      <c r="G146" s="29"/>
      <c r="H146" s="29"/>
      <c r="I146" s="29"/>
      <c r="J146" s="29"/>
      <c r="K146" s="29"/>
      <c r="L146" s="29"/>
      <c r="M146" s="29"/>
      <c r="N146" s="29"/>
      <c r="O146" s="29"/>
    </row>
    <row r="147" spans="1:15" x14ac:dyDescent="0.25">
      <c r="A147" s="29"/>
      <c r="B147" s="29"/>
      <c r="C147" s="29"/>
      <c r="D147" s="29"/>
      <c r="E147" s="29"/>
      <c r="F147" s="29"/>
      <c r="G147" s="29"/>
      <c r="H147" s="29"/>
      <c r="I147" s="29"/>
      <c r="J147" s="29"/>
      <c r="K147" s="29"/>
      <c r="L147" s="29"/>
      <c r="M147" s="29"/>
      <c r="N147" s="29"/>
      <c r="O147" s="29"/>
    </row>
    <row r="148" spans="1:15" x14ac:dyDescent="0.25">
      <c r="A148" s="29"/>
      <c r="B148" s="29"/>
      <c r="C148" s="29"/>
      <c r="D148" s="29"/>
      <c r="E148" s="29"/>
      <c r="F148" s="29"/>
      <c r="G148" s="29"/>
      <c r="H148" s="29"/>
      <c r="I148" s="29"/>
      <c r="J148" s="29"/>
      <c r="K148" s="29"/>
      <c r="L148" s="29"/>
      <c r="M148" s="29"/>
      <c r="N148" s="29"/>
      <c r="O148" s="29"/>
    </row>
    <row r="149" spans="1:15" x14ac:dyDescent="0.25">
      <c r="A149" s="29"/>
      <c r="B149" s="29"/>
      <c r="C149" s="29"/>
      <c r="D149" s="29"/>
      <c r="E149" s="29"/>
      <c r="F149" s="29"/>
      <c r="G149" s="29"/>
      <c r="H149" s="29"/>
      <c r="I149" s="29"/>
      <c r="J149" s="29"/>
      <c r="K149" s="29"/>
      <c r="L149" s="29"/>
      <c r="M149" s="29"/>
      <c r="N149" s="29"/>
      <c r="O149" s="29"/>
    </row>
    <row r="150" spans="1:15" x14ac:dyDescent="0.25">
      <c r="A150" s="29"/>
      <c r="B150" s="29"/>
      <c r="C150" s="29"/>
      <c r="D150" s="29"/>
      <c r="E150" s="29"/>
      <c r="F150" s="29"/>
      <c r="G150" s="29"/>
      <c r="H150" s="29"/>
      <c r="I150" s="29"/>
      <c r="J150" s="29"/>
      <c r="K150" s="29"/>
      <c r="L150" s="29"/>
      <c r="M150" s="29"/>
      <c r="N150" s="29"/>
      <c r="O150" s="29"/>
    </row>
    <row r="151" spans="1:15" x14ac:dyDescent="0.25">
      <c r="A151" s="29"/>
      <c r="B151" s="29"/>
      <c r="C151" s="29"/>
      <c r="D151" s="29"/>
      <c r="E151" s="29"/>
      <c r="F151" s="29"/>
      <c r="G151" s="29"/>
      <c r="H151" s="29"/>
      <c r="I151" s="29"/>
      <c r="J151" s="29"/>
      <c r="K151" s="29"/>
      <c r="L151" s="29"/>
      <c r="M151" s="29"/>
      <c r="N151" s="29"/>
      <c r="O151" s="29"/>
    </row>
    <row r="152" spans="1:15" x14ac:dyDescent="0.25">
      <c r="A152" s="29"/>
      <c r="B152" s="29"/>
      <c r="C152" s="29"/>
      <c r="D152" s="29"/>
      <c r="E152" s="29"/>
      <c r="F152" s="29"/>
      <c r="G152" s="29"/>
      <c r="H152" s="29"/>
      <c r="I152" s="29"/>
      <c r="J152" s="29"/>
      <c r="K152" s="29"/>
      <c r="L152" s="29"/>
      <c r="M152" s="29"/>
      <c r="N152" s="29"/>
      <c r="O152" s="29"/>
    </row>
    <row r="153" spans="1:15" x14ac:dyDescent="0.25">
      <c r="A153" s="29"/>
      <c r="B153" s="29"/>
      <c r="C153" s="29"/>
      <c r="D153" s="29"/>
      <c r="E153" s="29"/>
      <c r="F153" s="29"/>
      <c r="G153" s="29"/>
      <c r="H153" s="29"/>
      <c r="I153" s="29"/>
      <c r="J153" s="29"/>
      <c r="K153" s="29"/>
      <c r="L153" s="29"/>
      <c r="M153" s="29"/>
      <c r="N153" s="29"/>
      <c r="O153" s="29"/>
    </row>
    <row r="154" spans="1:15" x14ac:dyDescent="0.25">
      <c r="A154" s="29"/>
      <c r="B154" s="29"/>
      <c r="C154" s="29"/>
      <c r="D154" s="29"/>
      <c r="E154" s="29"/>
      <c r="F154" s="29"/>
      <c r="G154" s="29"/>
      <c r="H154" s="29"/>
      <c r="I154" s="29"/>
      <c r="J154" s="29"/>
      <c r="K154" s="29"/>
      <c r="L154" s="29"/>
      <c r="M154" s="29"/>
      <c r="N154" s="29"/>
      <c r="O154" s="29"/>
    </row>
    <row r="155" spans="1:15" x14ac:dyDescent="0.25">
      <c r="A155" s="29"/>
      <c r="B155" s="29"/>
      <c r="C155" s="29"/>
      <c r="D155" s="29"/>
      <c r="E155" s="29"/>
      <c r="F155" s="29"/>
      <c r="G155" s="29"/>
      <c r="H155" s="29"/>
      <c r="I155" s="29"/>
      <c r="J155" s="29"/>
      <c r="K155" s="29"/>
      <c r="L155" s="29"/>
      <c r="M155" s="29"/>
      <c r="N155" s="29"/>
      <c r="O155" s="29"/>
    </row>
    <row r="156" spans="1:15" x14ac:dyDescent="0.25">
      <c r="A156" s="29"/>
      <c r="B156" s="29"/>
      <c r="C156" s="29"/>
      <c r="D156" s="29"/>
      <c r="E156" s="29"/>
      <c r="F156" s="29"/>
      <c r="G156" s="29"/>
      <c r="H156" s="29"/>
      <c r="I156" s="29"/>
      <c r="J156" s="29"/>
      <c r="K156" s="29"/>
      <c r="L156" s="29"/>
      <c r="M156" s="29"/>
      <c r="N156" s="29"/>
      <c r="O156" s="29"/>
    </row>
    <row r="157" spans="1:15" x14ac:dyDescent="0.25">
      <c r="A157" s="29"/>
      <c r="B157" s="29"/>
      <c r="C157" s="29"/>
      <c r="D157" s="29"/>
      <c r="E157" s="29"/>
      <c r="F157" s="29"/>
      <c r="G157" s="29"/>
      <c r="H157" s="29"/>
      <c r="I157" s="29"/>
      <c r="J157" s="29"/>
      <c r="K157" s="29"/>
      <c r="L157" s="29"/>
      <c r="M157" s="29"/>
      <c r="N157" s="29"/>
      <c r="O157" s="29"/>
    </row>
    <row r="158" spans="1:15" x14ac:dyDescent="0.25">
      <c r="A158" s="29"/>
      <c r="B158" s="29"/>
      <c r="C158" s="29"/>
      <c r="D158" s="29"/>
      <c r="E158" s="29"/>
      <c r="F158" s="29"/>
      <c r="G158" s="29"/>
      <c r="H158" s="29"/>
      <c r="I158" s="29"/>
      <c r="J158" s="29"/>
      <c r="K158" s="29"/>
      <c r="L158" s="29"/>
      <c r="M158" s="29"/>
      <c r="N158" s="29"/>
      <c r="O158" s="29"/>
    </row>
    <row r="159" spans="1:15" x14ac:dyDescent="0.25">
      <c r="A159" s="29"/>
      <c r="B159" s="29"/>
      <c r="C159" s="29"/>
      <c r="D159" s="29"/>
      <c r="E159" s="29"/>
      <c r="F159" s="29"/>
      <c r="G159" s="29"/>
      <c r="H159" s="29"/>
      <c r="I159" s="29"/>
      <c r="J159" s="29"/>
      <c r="K159" s="29"/>
      <c r="L159" s="29"/>
      <c r="M159" s="29"/>
      <c r="N159" s="29"/>
      <c r="O159" s="29"/>
    </row>
    <row r="160" spans="1:15" x14ac:dyDescent="0.25">
      <c r="A160" s="29"/>
      <c r="B160" s="29"/>
      <c r="C160" s="29"/>
      <c r="D160" s="29"/>
      <c r="E160" s="29"/>
      <c r="F160" s="29"/>
      <c r="G160" s="29"/>
      <c r="H160" s="29"/>
      <c r="I160" s="29"/>
      <c r="J160" s="29"/>
      <c r="K160" s="29"/>
      <c r="L160" s="29"/>
      <c r="M160" s="29"/>
      <c r="N160" s="29"/>
      <c r="O160" s="29"/>
    </row>
    <row r="161" spans="1:15" x14ac:dyDescent="0.25">
      <c r="A161" s="29"/>
      <c r="B161" s="29"/>
      <c r="C161" s="29"/>
      <c r="D161" s="29"/>
      <c r="E161" s="29"/>
      <c r="F161" s="29"/>
      <c r="G161" s="29"/>
      <c r="H161" s="29"/>
      <c r="I161" s="29"/>
      <c r="J161" s="29"/>
      <c r="K161" s="29"/>
      <c r="L161" s="29"/>
      <c r="M161" s="29"/>
      <c r="N161" s="29"/>
      <c r="O161" s="29"/>
    </row>
    <row r="162" spans="1:15" x14ac:dyDescent="0.25">
      <c r="A162" s="29"/>
      <c r="B162" s="29"/>
      <c r="C162" s="29"/>
      <c r="D162" s="29"/>
      <c r="E162" s="29"/>
      <c r="F162" s="29"/>
      <c r="G162" s="29"/>
      <c r="H162" s="29"/>
      <c r="I162" s="29"/>
      <c r="J162" s="29"/>
      <c r="K162" s="29"/>
      <c r="L162" s="29"/>
      <c r="M162" s="29"/>
      <c r="N162" s="29"/>
      <c r="O162" s="29"/>
    </row>
    <row r="163" spans="1:15" x14ac:dyDescent="0.25">
      <c r="A163" s="29"/>
      <c r="B163" s="29"/>
      <c r="C163" s="29"/>
      <c r="D163" s="29"/>
      <c r="E163" s="29"/>
      <c r="F163" s="29"/>
      <c r="G163" s="29"/>
      <c r="H163" s="29"/>
      <c r="I163" s="29"/>
      <c r="J163" s="29"/>
      <c r="K163" s="29"/>
      <c r="L163" s="29"/>
      <c r="M163" s="29"/>
      <c r="N163" s="29"/>
      <c r="O163" s="29"/>
    </row>
    <row r="164" spans="1:15" x14ac:dyDescent="0.25">
      <c r="A164" s="29"/>
      <c r="B164" s="29"/>
      <c r="C164" s="29"/>
      <c r="D164" s="29"/>
      <c r="E164" s="29"/>
      <c r="F164" s="29"/>
      <c r="G164" s="29"/>
      <c r="H164" s="29"/>
      <c r="I164" s="29"/>
      <c r="J164" s="29"/>
      <c r="K164" s="29"/>
      <c r="L164" s="29"/>
      <c r="M164" s="29"/>
      <c r="N164" s="29"/>
      <c r="O164" s="29"/>
    </row>
    <row r="165" spans="1:15" x14ac:dyDescent="0.25">
      <c r="A165" s="29"/>
      <c r="B165" s="29"/>
      <c r="C165" s="29"/>
      <c r="D165" s="29"/>
      <c r="E165" s="29"/>
      <c r="F165" s="29"/>
      <c r="G165" s="29"/>
      <c r="H165" s="29"/>
      <c r="I165" s="29"/>
      <c r="J165" s="29"/>
      <c r="K165" s="29"/>
      <c r="L165" s="29"/>
      <c r="M165" s="29"/>
      <c r="N165" s="29"/>
      <c r="O165" s="29"/>
    </row>
    <row r="166" spans="1:15" x14ac:dyDescent="0.25">
      <c r="A166" s="29"/>
      <c r="B166" s="29"/>
      <c r="C166" s="29"/>
      <c r="D166" s="29"/>
      <c r="E166" s="29"/>
      <c r="F166" s="29"/>
      <c r="G166" s="29"/>
      <c r="H166" s="29"/>
      <c r="I166" s="29"/>
      <c r="J166" s="29"/>
      <c r="K166" s="29"/>
      <c r="L166" s="29"/>
      <c r="M166" s="29"/>
      <c r="N166" s="29"/>
      <c r="O166" s="29"/>
    </row>
    <row r="167" spans="1:15" x14ac:dyDescent="0.25">
      <c r="A167" s="29"/>
      <c r="B167" s="29"/>
      <c r="C167" s="29"/>
      <c r="D167" s="29"/>
      <c r="E167" s="29"/>
      <c r="F167" s="29"/>
      <c r="G167" s="29"/>
      <c r="H167" s="29"/>
      <c r="I167" s="29"/>
      <c r="J167" s="29"/>
      <c r="K167" s="29"/>
      <c r="L167" s="29"/>
      <c r="M167" s="29"/>
      <c r="N167" s="29"/>
      <c r="O167" s="29"/>
    </row>
    <row r="168" spans="1:15" x14ac:dyDescent="0.25">
      <c r="A168" s="29"/>
      <c r="B168" s="29"/>
      <c r="C168" s="29"/>
      <c r="D168" s="29"/>
      <c r="E168" s="29"/>
      <c r="F168" s="29"/>
      <c r="G168" s="29"/>
      <c r="H168" s="29"/>
      <c r="I168" s="29"/>
      <c r="J168" s="29"/>
      <c r="K168" s="29"/>
      <c r="L168" s="29"/>
      <c r="M168" s="29"/>
      <c r="N168" s="29"/>
      <c r="O168" s="29"/>
    </row>
    <row r="169" spans="1:15" x14ac:dyDescent="0.25">
      <c r="A169" s="29"/>
      <c r="B169" s="29"/>
      <c r="C169" s="29"/>
      <c r="D169" s="29"/>
      <c r="E169" s="29"/>
      <c r="F169" s="29"/>
      <c r="G169" s="29"/>
      <c r="H169" s="29"/>
      <c r="I169" s="29"/>
      <c r="J169" s="29"/>
      <c r="K169" s="29"/>
      <c r="L169" s="29"/>
      <c r="M169" s="29"/>
      <c r="N169" s="29"/>
      <c r="O169" s="29"/>
    </row>
    <row r="170" spans="1:15" x14ac:dyDescent="0.25">
      <c r="A170" s="29"/>
      <c r="B170" s="29"/>
      <c r="C170" s="29"/>
      <c r="D170" s="29"/>
      <c r="E170" s="29"/>
      <c r="F170" s="29"/>
      <c r="G170" s="29"/>
      <c r="H170" s="29"/>
      <c r="I170" s="29"/>
      <c r="J170" s="29"/>
      <c r="K170" s="29"/>
      <c r="L170" s="29"/>
      <c r="M170" s="29"/>
      <c r="N170" s="29"/>
      <c r="O170" s="29"/>
    </row>
    <row r="171" spans="1:15" x14ac:dyDescent="0.25">
      <c r="A171" s="29"/>
      <c r="B171" s="29"/>
      <c r="C171" s="29"/>
      <c r="D171" s="29"/>
      <c r="E171" s="29"/>
      <c r="F171" s="29"/>
      <c r="G171" s="29"/>
      <c r="H171" s="29"/>
      <c r="I171" s="29"/>
      <c r="J171" s="29"/>
      <c r="K171" s="29"/>
      <c r="L171" s="29"/>
      <c r="M171" s="29"/>
      <c r="N171" s="29"/>
      <c r="O171" s="29"/>
    </row>
    <row r="172" spans="1:15" x14ac:dyDescent="0.25">
      <c r="A172" s="29"/>
      <c r="B172" s="29"/>
      <c r="C172" s="29"/>
      <c r="D172" s="29"/>
      <c r="E172" s="29"/>
      <c r="F172" s="29"/>
      <c r="G172" s="29"/>
      <c r="H172" s="29"/>
      <c r="I172" s="29"/>
      <c r="J172" s="29"/>
      <c r="K172" s="29"/>
      <c r="L172" s="29"/>
      <c r="M172" s="29"/>
      <c r="N172" s="29"/>
      <c r="O172" s="29"/>
    </row>
    <row r="173" spans="1:15" x14ac:dyDescent="0.25">
      <c r="A173" s="29"/>
      <c r="B173" s="29"/>
      <c r="C173" s="29"/>
      <c r="D173" s="29"/>
      <c r="E173" s="29"/>
      <c r="F173" s="29"/>
      <c r="G173" s="29"/>
      <c r="H173" s="29"/>
      <c r="I173" s="29"/>
      <c r="J173" s="29"/>
      <c r="K173" s="29"/>
      <c r="L173" s="29"/>
      <c r="M173" s="29"/>
      <c r="N173" s="29"/>
      <c r="O173" s="29"/>
    </row>
    <row r="174" spans="1:15" x14ac:dyDescent="0.25">
      <c r="A174" s="29"/>
      <c r="B174" s="29"/>
      <c r="C174" s="29"/>
      <c r="D174" s="29"/>
      <c r="E174" s="29"/>
      <c r="F174" s="29"/>
      <c r="G174" s="29"/>
      <c r="H174" s="29"/>
      <c r="I174" s="29"/>
      <c r="J174" s="29"/>
      <c r="K174" s="29"/>
      <c r="L174" s="29"/>
      <c r="M174" s="29"/>
      <c r="N174" s="29"/>
      <c r="O174" s="29"/>
    </row>
    <row r="175" spans="1:15" x14ac:dyDescent="0.25">
      <c r="A175" s="29"/>
      <c r="B175" s="29"/>
      <c r="C175" s="29"/>
      <c r="D175" s="29"/>
      <c r="E175" s="29"/>
      <c r="F175" s="29"/>
      <c r="G175" s="29"/>
      <c r="H175" s="29"/>
      <c r="I175" s="29"/>
      <c r="J175" s="29"/>
      <c r="K175" s="29"/>
      <c r="L175" s="29"/>
      <c r="M175" s="29"/>
      <c r="N175" s="29"/>
      <c r="O175" s="29"/>
    </row>
    <row r="176" spans="1:15" x14ac:dyDescent="0.25">
      <c r="A176" s="29"/>
      <c r="B176" s="29"/>
      <c r="C176" s="29"/>
      <c r="D176" s="29"/>
      <c r="E176" s="29"/>
      <c r="F176" s="29"/>
      <c r="G176" s="29"/>
      <c r="H176" s="29"/>
      <c r="I176" s="29"/>
      <c r="J176" s="29"/>
      <c r="K176" s="29"/>
      <c r="L176" s="29"/>
      <c r="M176" s="29"/>
      <c r="N176" s="29"/>
      <c r="O176" s="29"/>
    </row>
    <row r="177" spans="1:15" x14ac:dyDescent="0.25">
      <c r="A177" s="29"/>
      <c r="B177" s="29"/>
      <c r="C177" s="29"/>
      <c r="D177" s="29"/>
      <c r="E177" s="29"/>
      <c r="F177" s="29"/>
      <c r="G177" s="29"/>
      <c r="H177" s="29"/>
      <c r="I177" s="29"/>
      <c r="J177" s="29"/>
      <c r="K177" s="29"/>
      <c r="L177" s="29"/>
      <c r="M177" s="29"/>
      <c r="N177" s="29"/>
      <c r="O177" s="29"/>
    </row>
    <row r="178" spans="1:15" x14ac:dyDescent="0.25">
      <c r="A178" s="29"/>
      <c r="B178" s="29"/>
      <c r="C178" s="29"/>
      <c r="D178" s="29"/>
      <c r="E178" s="29"/>
      <c r="F178" s="29"/>
      <c r="G178" s="29"/>
      <c r="H178" s="29"/>
      <c r="I178" s="29"/>
      <c r="J178" s="29"/>
      <c r="K178" s="29"/>
      <c r="L178" s="29"/>
      <c r="M178" s="29"/>
      <c r="N178" s="29"/>
      <c r="O178" s="29"/>
    </row>
    <row r="179" spans="1:15" x14ac:dyDescent="0.25">
      <c r="A179" s="29"/>
      <c r="B179" s="29"/>
      <c r="C179" s="29"/>
      <c r="D179" s="29"/>
      <c r="E179" s="29"/>
      <c r="F179" s="29"/>
      <c r="G179" s="29"/>
      <c r="H179" s="29"/>
      <c r="I179" s="29"/>
      <c r="J179" s="29"/>
      <c r="K179" s="29"/>
      <c r="L179" s="29"/>
      <c r="M179" s="29"/>
      <c r="N179" s="29"/>
      <c r="O179" s="29"/>
    </row>
    <row r="180" spans="1:15" x14ac:dyDescent="0.25">
      <c r="A180" s="29"/>
      <c r="B180" s="29"/>
      <c r="C180" s="29"/>
      <c r="D180" s="29"/>
      <c r="E180" s="29"/>
      <c r="F180" s="29"/>
      <c r="G180" s="29"/>
      <c r="H180" s="29"/>
      <c r="I180" s="29"/>
      <c r="J180" s="29"/>
      <c r="K180" s="29"/>
      <c r="L180" s="29"/>
      <c r="M180" s="29"/>
      <c r="N180" s="29"/>
      <c r="O180" s="29"/>
    </row>
    <row r="181" spans="1:15" x14ac:dyDescent="0.25">
      <c r="A181" s="29"/>
      <c r="B181" s="29"/>
      <c r="C181" s="29"/>
      <c r="D181" s="29"/>
      <c r="E181" s="29"/>
      <c r="F181" s="29"/>
      <c r="G181" s="29"/>
      <c r="H181" s="29"/>
      <c r="I181" s="29"/>
      <c r="J181" s="29"/>
      <c r="K181" s="29"/>
      <c r="L181" s="29"/>
      <c r="M181" s="29"/>
      <c r="N181" s="29"/>
      <c r="O181" s="29"/>
    </row>
    <row r="182" spans="1:15" x14ac:dyDescent="0.25">
      <c r="A182" s="29"/>
      <c r="B182" s="29"/>
      <c r="C182" s="29"/>
      <c r="D182" s="29"/>
      <c r="E182" s="29"/>
      <c r="F182" s="29"/>
      <c r="G182" s="29"/>
      <c r="H182" s="29"/>
      <c r="I182" s="29"/>
      <c r="J182" s="29"/>
      <c r="K182" s="29"/>
      <c r="L182" s="29"/>
      <c r="M182" s="29"/>
      <c r="N182" s="29"/>
      <c r="O182" s="29"/>
    </row>
    <row r="183" spans="1:15" x14ac:dyDescent="0.25">
      <c r="A183" s="29"/>
      <c r="B183" s="29"/>
      <c r="C183" s="29"/>
      <c r="D183" s="29"/>
      <c r="E183" s="29"/>
      <c r="F183" s="29"/>
      <c r="G183" s="29"/>
      <c r="H183" s="29"/>
      <c r="I183" s="29"/>
      <c r="J183" s="29"/>
      <c r="K183" s="29"/>
      <c r="L183" s="29"/>
      <c r="M183" s="29"/>
      <c r="N183" s="29"/>
      <c r="O183" s="29"/>
    </row>
    <row r="184" spans="1:15" x14ac:dyDescent="0.25">
      <c r="A184" s="29"/>
      <c r="B184" s="29"/>
      <c r="C184" s="29"/>
      <c r="D184" s="29"/>
      <c r="E184" s="29"/>
      <c r="F184" s="29"/>
      <c r="G184" s="29"/>
      <c r="H184" s="29"/>
      <c r="I184" s="29"/>
      <c r="J184" s="29"/>
      <c r="K184" s="29"/>
      <c r="L184" s="29"/>
      <c r="M184" s="29"/>
      <c r="N184" s="29"/>
      <c r="O184" s="29"/>
    </row>
    <row r="185" spans="1:15" x14ac:dyDescent="0.25">
      <c r="A185" s="29"/>
      <c r="B185" s="29"/>
      <c r="C185" s="29"/>
      <c r="D185" s="29"/>
      <c r="E185" s="29"/>
      <c r="F185" s="29"/>
      <c r="G185" s="29"/>
      <c r="H185" s="29"/>
      <c r="I185" s="29"/>
      <c r="J185" s="29"/>
      <c r="K185" s="29"/>
      <c r="L185" s="29"/>
      <c r="M185" s="29"/>
      <c r="N185" s="29"/>
      <c r="O185" s="29"/>
    </row>
    <row r="186" spans="1:15" x14ac:dyDescent="0.25">
      <c r="A186" s="29"/>
      <c r="B186" s="29"/>
      <c r="C186" s="29"/>
      <c r="D186" s="29"/>
      <c r="E186" s="29"/>
      <c r="F186" s="29"/>
      <c r="G186" s="29"/>
      <c r="H186" s="29"/>
      <c r="I186" s="29"/>
      <c r="J186" s="29"/>
      <c r="K186" s="29"/>
      <c r="L186" s="29"/>
      <c r="M186" s="29"/>
      <c r="N186" s="29"/>
      <c r="O186" s="29"/>
    </row>
    <row r="187" spans="1:15" x14ac:dyDescent="0.25">
      <c r="A187" s="29"/>
      <c r="B187" s="29"/>
      <c r="C187" s="29"/>
      <c r="D187" s="29"/>
      <c r="E187" s="29"/>
      <c r="F187" s="29"/>
      <c r="G187" s="29"/>
      <c r="H187" s="29"/>
      <c r="I187" s="29"/>
      <c r="J187" s="29"/>
      <c r="K187" s="29"/>
      <c r="L187" s="29"/>
      <c r="M187" s="29"/>
      <c r="N187" s="29"/>
      <c r="O187" s="29"/>
    </row>
    <row r="188" spans="1:15" x14ac:dyDescent="0.25">
      <c r="A188" s="29"/>
      <c r="B188" s="29"/>
      <c r="C188" s="29"/>
      <c r="D188" s="29"/>
      <c r="E188" s="29"/>
      <c r="F188" s="29"/>
      <c r="G188" s="29"/>
      <c r="H188" s="29"/>
      <c r="I188" s="29"/>
      <c r="J188" s="29"/>
      <c r="K188" s="29"/>
      <c r="L188" s="29"/>
      <c r="M188" s="29"/>
      <c r="N188" s="29"/>
      <c r="O188" s="29"/>
    </row>
    <row r="189" spans="1:15" x14ac:dyDescent="0.25">
      <c r="A189" s="29"/>
      <c r="B189" s="29"/>
      <c r="C189" s="29"/>
      <c r="D189" s="29"/>
      <c r="E189" s="29"/>
      <c r="F189" s="29"/>
      <c r="G189" s="29"/>
      <c r="H189" s="29"/>
      <c r="I189" s="29"/>
      <c r="J189" s="29"/>
      <c r="K189" s="29"/>
      <c r="L189" s="29"/>
      <c r="M189" s="29"/>
      <c r="N189" s="29"/>
      <c r="O189" s="29"/>
    </row>
    <row r="190" spans="1:15" x14ac:dyDescent="0.25">
      <c r="A190" s="29"/>
      <c r="B190" s="29"/>
      <c r="C190" s="29"/>
      <c r="D190" s="29"/>
      <c r="E190" s="29"/>
      <c r="F190" s="29"/>
      <c r="G190" s="29"/>
      <c r="H190" s="29"/>
      <c r="I190" s="29"/>
      <c r="J190" s="29"/>
      <c r="K190" s="29"/>
      <c r="L190" s="29"/>
      <c r="M190" s="29"/>
      <c r="N190" s="29"/>
      <c r="O190" s="29"/>
    </row>
    <row r="191" spans="1:15" x14ac:dyDescent="0.25">
      <c r="A191" s="29"/>
      <c r="B191" s="29"/>
      <c r="C191" s="29"/>
      <c r="D191" s="29"/>
      <c r="E191" s="29"/>
      <c r="F191" s="29"/>
      <c r="G191" s="29"/>
      <c r="H191" s="29"/>
      <c r="I191" s="29"/>
      <c r="J191" s="29"/>
      <c r="K191" s="29"/>
      <c r="L191" s="29"/>
      <c r="M191" s="29"/>
      <c r="N191" s="29"/>
      <c r="O191" s="29"/>
    </row>
    <row r="192" spans="1:15" x14ac:dyDescent="0.25">
      <c r="A192" s="29"/>
      <c r="B192" s="29"/>
      <c r="C192" s="29"/>
      <c r="D192" s="29"/>
      <c r="E192" s="29"/>
      <c r="F192" s="29"/>
      <c r="G192" s="29"/>
      <c r="H192" s="29"/>
      <c r="I192" s="29"/>
      <c r="J192" s="29"/>
      <c r="K192" s="29"/>
      <c r="L192" s="29"/>
      <c r="M192" s="29"/>
      <c r="N192" s="29"/>
      <c r="O192" s="29"/>
    </row>
    <row r="193" spans="1:15" x14ac:dyDescent="0.25">
      <c r="A193" s="29"/>
      <c r="B193" s="29"/>
      <c r="C193" s="29"/>
      <c r="D193" s="29"/>
      <c r="E193" s="29"/>
      <c r="F193" s="29"/>
      <c r="G193" s="29"/>
      <c r="H193" s="29"/>
      <c r="I193" s="29"/>
      <c r="J193" s="29"/>
      <c r="K193" s="29"/>
      <c r="L193" s="29"/>
      <c r="M193" s="29"/>
      <c r="N193" s="29"/>
      <c r="O193" s="29"/>
    </row>
    <row r="194" spans="1:15" x14ac:dyDescent="0.25">
      <c r="A194" s="29"/>
      <c r="B194" s="29"/>
      <c r="C194" s="29"/>
      <c r="D194" s="29"/>
      <c r="E194" s="29"/>
      <c r="F194" s="29"/>
      <c r="G194" s="29"/>
      <c r="H194" s="29"/>
      <c r="I194" s="29"/>
      <c r="J194" s="29"/>
      <c r="K194" s="29"/>
      <c r="L194" s="29"/>
      <c r="M194" s="29"/>
      <c r="N194" s="29"/>
      <c r="O194" s="29"/>
    </row>
    <row r="195" spans="1:15" x14ac:dyDescent="0.25">
      <c r="A195" s="29"/>
      <c r="B195" s="29"/>
      <c r="C195" s="29"/>
      <c r="D195" s="29"/>
      <c r="E195" s="29"/>
      <c r="F195" s="29"/>
      <c r="G195" s="29"/>
      <c r="H195" s="29"/>
      <c r="I195" s="29"/>
      <c r="J195" s="29"/>
      <c r="K195" s="29"/>
      <c r="L195" s="29"/>
      <c r="M195" s="29"/>
      <c r="N195" s="29"/>
      <c r="O195" s="29"/>
    </row>
    <row r="196" spans="1:15" x14ac:dyDescent="0.25">
      <c r="A196" s="29"/>
      <c r="B196" s="29"/>
      <c r="C196" s="29"/>
      <c r="D196" s="29"/>
      <c r="E196" s="29"/>
      <c r="F196" s="29"/>
      <c r="G196" s="29"/>
      <c r="H196" s="29"/>
      <c r="I196" s="29"/>
      <c r="J196" s="29"/>
      <c r="K196" s="29"/>
      <c r="L196" s="29"/>
      <c r="M196" s="29"/>
      <c r="N196" s="29"/>
      <c r="O196" s="29"/>
    </row>
    <row r="197" spans="1:15" x14ac:dyDescent="0.25">
      <c r="A197" s="29"/>
      <c r="B197" s="29"/>
      <c r="C197" s="29"/>
      <c r="D197" s="29"/>
      <c r="E197" s="29"/>
      <c r="F197" s="29"/>
      <c r="G197" s="29"/>
      <c r="H197" s="29"/>
      <c r="I197" s="29"/>
      <c r="J197" s="29"/>
      <c r="K197" s="29"/>
      <c r="L197" s="29"/>
      <c r="M197" s="29"/>
      <c r="N197" s="29"/>
      <c r="O197" s="29"/>
    </row>
    <row r="198" spans="1:15" x14ac:dyDescent="0.25">
      <c r="A198" s="29"/>
      <c r="B198" s="29"/>
      <c r="C198" s="29"/>
      <c r="D198" s="29"/>
      <c r="E198" s="29"/>
      <c r="F198" s="29"/>
      <c r="G198" s="29"/>
      <c r="H198" s="29"/>
      <c r="I198" s="29"/>
      <c r="J198" s="29"/>
      <c r="K198" s="29"/>
      <c r="L198" s="29"/>
      <c r="M198" s="29"/>
      <c r="N198" s="29"/>
      <c r="O198" s="29"/>
    </row>
    <row r="199" spans="1:15" x14ac:dyDescent="0.25">
      <c r="A199" s="29"/>
      <c r="B199" s="29"/>
      <c r="C199" s="29"/>
      <c r="D199" s="29"/>
      <c r="E199" s="29"/>
      <c r="F199" s="29"/>
      <c r="G199" s="29"/>
      <c r="H199" s="29"/>
      <c r="I199" s="29"/>
      <c r="J199" s="29"/>
      <c r="K199" s="29"/>
      <c r="L199" s="29"/>
      <c r="M199" s="29"/>
      <c r="N199" s="29"/>
      <c r="O199" s="29"/>
    </row>
    <row r="200" spans="1:15" x14ac:dyDescent="0.25">
      <c r="A200" s="29"/>
      <c r="B200" s="29"/>
      <c r="C200" s="29"/>
      <c r="D200" s="29"/>
      <c r="E200" s="29"/>
      <c r="F200" s="29"/>
      <c r="G200" s="29"/>
      <c r="H200" s="29"/>
      <c r="I200" s="29"/>
      <c r="J200" s="29"/>
      <c r="K200" s="29"/>
      <c r="L200" s="29"/>
      <c r="M200" s="29"/>
      <c r="N200" s="29"/>
      <c r="O200" s="29"/>
    </row>
    <row r="201" spans="1:15" x14ac:dyDescent="0.25">
      <c r="A201" s="29"/>
      <c r="B201" s="29"/>
      <c r="C201" s="29"/>
      <c r="D201" s="29"/>
      <c r="E201" s="29"/>
      <c r="F201" s="29"/>
      <c r="G201" s="29"/>
      <c r="H201" s="29"/>
      <c r="I201" s="29"/>
      <c r="J201" s="29"/>
      <c r="K201" s="29"/>
      <c r="L201" s="29"/>
      <c r="M201" s="29"/>
      <c r="N201" s="29"/>
      <c r="O201" s="29"/>
    </row>
    <row r="202" spans="1:15" x14ac:dyDescent="0.25">
      <c r="A202" s="29"/>
      <c r="B202" s="29"/>
      <c r="C202" s="29"/>
      <c r="D202" s="29"/>
      <c r="E202" s="29"/>
      <c r="F202" s="29"/>
      <c r="G202" s="29"/>
      <c r="H202" s="29"/>
      <c r="I202" s="29"/>
      <c r="J202" s="29"/>
      <c r="K202" s="29"/>
      <c r="L202" s="29"/>
      <c r="M202" s="29"/>
      <c r="N202" s="29"/>
      <c r="O202" s="29"/>
    </row>
    <row r="203" spans="1:15" x14ac:dyDescent="0.25">
      <c r="A203" s="29"/>
      <c r="B203" s="29"/>
      <c r="C203" s="29"/>
      <c r="D203" s="29"/>
      <c r="E203" s="29"/>
      <c r="F203" s="29"/>
      <c r="G203" s="29"/>
      <c r="H203" s="29"/>
      <c r="I203" s="29"/>
      <c r="J203" s="29"/>
      <c r="K203" s="29"/>
      <c r="L203" s="29"/>
      <c r="M203" s="29"/>
      <c r="N203" s="29"/>
      <c r="O203" s="29"/>
    </row>
    <row r="204" spans="1:15" x14ac:dyDescent="0.25">
      <c r="A204" s="29"/>
      <c r="B204" s="29"/>
      <c r="C204" s="29"/>
      <c r="D204" s="29"/>
      <c r="E204" s="29"/>
      <c r="F204" s="29"/>
      <c r="G204" s="29"/>
      <c r="H204" s="29"/>
      <c r="I204" s="29"/>
      <c r="J204" s="29"/>
      <c r="K204" s="29"/>
      <c r="L204" s="29"/>
      <c r="M204" s="29"/>
      <c r="N204" s="29"/>
      <c r="O204" s="29"/>
    </row>
    <row r="205" spans="1:15" x14ac:dyDescent="0.25">
      <c r="A205" s="29"/>
      <c r="B205" s="29"/>
      <c r="C205" s="29"/>
      <c r="D205" s="29"/>
      <c r="E205" s="29"/>
      <c r="F205" s="29"/>
      <c r="G205" s="29"/>
      <c r="H205" s="29"/>
      <c r="I205" s="29"/>
      <c r="J205" s="29"/>
      <c r="K205" s="29"/>
      <c r="L205" s="29"/>
      <c r="M205" s="29"/>
      <c r="N205" s="29"/>
      <c r="O205" s="29"/>
    </row>
    <row r="206" spans="1:15" x14ac:dyDescent="0.25">
      <c r="A206" s="29"/>
      <c r="B206" s="29"/>
      <c r="C206" s="29"/>
      <c r="D206" s="29"/>
      <c r="E206" s="29"/>
      <c r="F206" s="29"/>
      <c r="G206" s="29"/>
      <c r="H206" s="29"/>
      <c r="I206" s="29"/>
      <c r="J206" s="29"/>
      <c r="K206" s="29"/>
      <c r="L206" s="29"/>
      <c r="M206" s="29"/>
      <c r="N206" s="29"/>
      <c r="O206" s="29"/>
    </row>
    <row r="207" spans="1:15" x14ac:dyDescent="0.25">
      <c r="A207" s="29"/>
      <c r="B207" s="29"/>
      <c r="C207" s="29"/>
      <c r="D207" s="29"/>
      <c r="E207" s="29"/>
      <c r="F207" s="29"/>
      <c r="G207" s="29"/>
      <c r="H207" s="29"/>
      <c r="I207" s="29"/>
      <c r="J207" s="29"/>
      <c r="K207" s="29"/>
      <c r="L207" s="29"/>
      <c r="M207" s="29"/>
      <c r="N207" s="29"/>
      <c r="O207" s="29"/>
    </row>
    <row r="208" spans="1:15" x14ac:dyDescent="0.25">
      <c r="A208" s="29"/>
      <c r="B208" s="29"/>
      <c r="C208" s="29"/>
      <c r="D208" s="29"/>
      <c r="E208" s="29"/>
      <c r="F208" s="29"/>
      <c r="G208" s="29"/>
      <c r="H208" s="29"/>
      <c r="I208" s="29"/>
      <c r="J208" s="29"/>
      <c r="K208" s="29"/>
      <c r="L208" s="29"/>
      <c r="M208" s="29"/>
      <c r="N208" s="29"/>
      <c r="O208" s="29"/>
    </row>
    <row r="209" spans="1:15" x14ac:dyDescent="0.25">
      <c r="A209" s="29"/>
      <c r="B209" s="29"/>
      <c r="C209" s="29"/>
      <c r="D209" s="29"/>
      <c r="E209" s="29"/>
      <c r="F209" s="29"/>
      <c r="G209" s="29"/>
      <c r="H209" s="29"/>
      <c r="I209" s="29"/>
      <c r="J209" s="29"/>
      <c r="K209" s="29"/>
      <c r="L209" s="29"/>
      <c r="M209" s="29"/>
      <c r="N209" s="29"/>
      <c r="O209" s="29"/>
    </row>
    <row r="210" spans="1:15" x14ac:dyDescent="0.25">
      <c r="A210" s="29"/>
      <c r="B210" s="29"/>
      <c r="C210" s="29"/>
      <c r="D210" s="29"/>
      <c r="E210" s="29"/>
      <c r="F210" s="29"/>
      <c r="G210" s="29"/>
      <c r="H210" s="29"/>
      <c r="I210" s="29"/>
      <c r="J210" s="29"/>
      <c r="K210" s="29"/>
      <c r="L210" s="29"/>
      <c r="M210" s="29"/>
      <c r="N210" s="29"/>
      <c r="O210" s="29"/>
    </row>
    <row r="211" spans="1:15" x14ac:dyDescent="0.25">
      <c r="A211" s="29"/>
      <c r="B211" s="29"/>
      <c r="C211" s="29"/>
      <c r="D211" s="29"/>
      <c r="E211" s="29"/>
      <c r="F211" s="29"/>
      <c r="G211" s="29"/>
      <c r="H211" s="29"/>
      <c r="I211" s="29"/>
      <c r="J211" s="29"/>
      <c r="K211" s="29"/>
      <c r="L211" s="29"/>
      <c r="M211" s="29"/>
      <c r="N211" s="29"/>
      <c r="O211" s="29"/>
    </row>
    <row r="212" spans="1:15" x14ac:dyDescent="0.25">
      <c r="A212" s="29"/>
      <c r="B212" s="29"/>
      <c r="C212" s="29"/>
      <c r="D212" s="29"/>
      <c r="E212" s="29"/>
      <c r="F212" s="29"/>
      <c r="G212" s="29"/>
      <c r="H212" s="29"/>
      <c r="I212" s="29"/>
      <c r="J212" s="29"/>
      <c r="K212" s="29"/>
      <c r="L212" s="29"/>
      <c r="M212" s="29"/>
      <c r="N212" s="29"/>
      <c r="O212" s="29"/>
    </row>
    <row r="213" spans="1:15" x14ac:dyDescent="0.25">
      <c r="A213" s="29"/>
      <c r="B213" s="29"/>
      <c r="C213" s="29"/>
      <c r="D213" s="29"/>
      <c r="E213" s="29"/>
      <c r="F213" s="29"/>
      <c r="G213" s="29"/>
      <c r="H213" s="29"/>
      <c r="I213" s="29"/>
      <c r="J213" s="29"/>
      <c r="K213" s="29"/>
      <c r="L213" s="29"/>
      <c r="M213" s="29"/>
      <c r="N213" s="29"/>
      <c r="O213" s="29"/>
    </row>
    <row r="214" spans="1:15" x14ac:dyDescent="0.25">
      <c r="A214" s="29"/>
      <c r="B214" s="29"/>
      <c r="C214" s="29"/>
      <c r="D214" s="29"/>
      <c r="E214" s="29"/>
      <c r="F214" s="29"/>
      <c r="G214" s="29"/>
      <c r="H214" s="29"/>
      <c r="I214" s="29"/>
      <c r="J214" s="29"/>
      <c r="K214" s="29"/>
      <c r="L214" s="29"/>
      <c r="M214" s="29"/>
      <c r="N214" s="29"/>
      <c r="O214" s="29"/>
    </row>
    <row r="215" spans="1:15" x14ac:dyDescent="0.25">
      <c r="A215" s="29"/>
      <c r="B215" s="29"/>
      <c r="C215" s="29"/>
      <c r="D215" s="29"/>
      <c r="E215" s="29"/>
      <c r="F215" s="29"/>
      <c r="G215" s="29"/>
      <c r="H215" s="29"/>
      <c r="I215" s="29"/>
      <c r="J215" s="29"/>
      <c r="K215" s="29"/>
      <c r="L215" s="29"/>
      <c r="M215" s="29"/>
      <c r="N215" s="29"/>
      <c r="O215" s="29"/>
    </row>
    <row r="216" spans="1:15" x14ac:dyDescent="0.25">
      <c r="A216" s="29"/>
      <c r="B216" s="29"/>
      <c r="C216" s="29"/>
      <c r="D216" s="29"/>
      <c r="E216" s="29"/>
      <c r="F216" s="29"/>
      <c r="G216" s="29"/>
      <c r="H216" s="29"/>
      <c r="I216" s="29"/>
      <c r="J216" s="29"/>
      <c r="K216" s="29"/>
      <c r="L216" s="29"/>
      <c r="M216" s="29"/>
      <c r="N216" s="29"/>
      <c r="O216" s="29"/>
    </row>
    <row r="217" spans="1:15" x14ac:dyDescent="0.25">
      <c r="A217" s="29"/>
      <c r="B217" s="29"/>
      <c r="C217" s="29"/>
      <c r="D217" s="29"/>
      <c r="E217" s="29"/>
      <c r="F217" s="29"/>
      <c r="G217" s="29"/>
      <c r="H217" s="29"/>
      <c r="I217" s="29"/>
      <c r="J217" s="29"/>
      <c r="K217" s="29"/>
      <c r="L217" s="29"/>
      <c r="M217" s="29"/>
      <c r="N217" s="29"/>
      <c r="O217" s="29"/>
    </row>
    <row r="218" spans="1:15" x14ac:dyDescent="0.25">
      <c r="A218" s="29"/>
      <c r="B218" s="29"/>
      <c r="C218" s="29"/>
      <c r="D218" s="29"/>
      <c r="E218" s="29"/>
      <c r="F218" s="29"/>
      <c r="G218" s="29"/>
      <c r="H218" s="29"/>
      <c r="I218" s="29"/>
      <c r="J218" s="29"/>
      <c r="K218" s="29"/>
      <c r="L218" s="29"/>
      <c r="M218" s="29"/>
      <c r="N218" s="29"/>
      <c r="O218" s="29"/>
    </row>
    <row r="219" spans="1:15" x14ac:dyDescent="0.25">
      <c r="A219" s="29"/>
      <c r="B219" s="29"/>
      <c r="C219" s="29"/>
      <c r="D219" s="29"/>
      <c r="E219" s="29"/>
      <c r="F219" s="29"/>
      <c r="G219" s="29"/>
      <c r="H219" s="29"/>
      <c r="I219" s="29"/>
      <c r="J219" s="29"/>
      <c r="K219" s="29"/>
      <c r="L219" s="29"/>
      <c r="M219" s="29"/>
      <c r="N219" s="29"/>
      <c r="O219" s="29"/>
    </row>
    <row r="220" spans="1:15" x14ac:dyDescent="0.25">
      <c r="A220" s="29"/>
      <c r="B220" s="29"/>
      <c r="C220" s="29"/>
      <c r="D220" s="29"/>
      <c r="E220" s="29"/>
      <c r="F220" s="29"/>
      <c r="G220" s="29"/>
      <c r="H220" s="29"/>
      <c r="I220" s="29"/>
      <c r="J220" s="29"/>
      <c r="K220" s="29"/>
      <c r="L220" s="29"/>
      <c r="M220" s="29"/>
      <c r="N220" s="29"/>
      <c r="O220" s="29"/>
    </row>
    <row r="221" spans="1:15" x14ac:dyDescent="0.25">
      <c r="A221" s="29"/>
      <c r="B221" s="29"/>
      <c r="C221" s="29"/>
      <c r="D221" s="29"/>
      <c r="E221" s="29"/>
      <c r="F221" s="29"/>
      <c r="G221" s="29"/>
      <c r="H221" s="29"/>
      <c r="I221" s="29"/>
      <c r="J221" s="29"/>
      <c r="K221" s="29"/>
      <c r="L221" s="29"/>
      <c r="M221" s="29"/>
      <c r="N221" s="29"/>
      <c r="O221" s="29"/>
    </row>
    <row r="222" spans="1:15" x14ac:dyDescent="0.25">
      <c r="A222" s="29"/>
      <c r="B222" s="29"/>
      <c r="C222" s="29"/>
      <c r="D222" s="29"/>
      <c r="E222" s="29"/>
      <c r="F222" s="29"/>
      <c r="G222" s="29"/>
      <c r="H222" s="29"/>
      <c r="I222" s="29"/>
      <c r="J222" s="29"/>
      <c r="K222" s="29"/>
      <c r="L222" s="29"/>
      <c r="M222" s="29"/>
      <c r="N222" s="29"/>
      <c r="O222" s="29"/>
    </row>
    <row r="223" spans="1:15" x14ac:dyDescent="0.25">
      <c r="A223" s="29"/>
      <c r="B223" s="29"/>
      <c r="C223" s="29"/>
      <c r="D223" s="29"/>
      <c r="E223" s="29"/>
      <c r="F223" s="29"/>
      <c r="G223" s="29"/>
      <c r="H223" s="29"/>
      <c r="I223" s="29"/>
      <c r="J223" s="29"/>
      <c r="K223" s="29"/>
      <c r="L223" s="29"/>
      <c r="M223" s="29"/>
      <c r="N223" s="29"/>
      <c r="O223" s="29"/>
    </row>
    <row r="224" spans="1:15" x14ac:dyDescent="0.25">
      <c r="A224" s="29"/>
      <c r="B224" s="29"/>
      <c r="C224" s="29"/>
      <c r="D224" s="29"/>
      <c r="E224" s="29"/>
      <c r="F224" s="29"/>
      <c r="G224" s="29"/>
      <c r="H224" s="29"/>
      <c r="I224" s="29"/>
      <c r="J224" s="29"/>
      <c r="K224" s="29"/>
      <c r="L224" s="29"/>
      <c r="M224" s="29"/>
      <c r="N224" s="29"/>
      <c r="O224" s="29"/>
    </row>
    <row r="225" spans="1:15" x14ac:dyDescent="0.25">
      <c r="A225" s="29"/>
      <c r="B225" s="29"/>
      <c r="C225" s="29"/>
      <c r="D225" s="29"/>
      <c r="E225" s="29"/>
      <c r="F225" s="29"/>
      <c r="G225" s="29"/>
      <c r="H225" s="29"/>
      <c r="I225" s="29"/>
      <c r="J225" s="29"/>
      <c r="K225" s="29"/>
      <c r="L225" s="29"/>
      <c r="M225" s="29"/>
      <c r="N225" s="29"/>
      <c r="O225" s="29"/>
    </row>
    <row r="226" spans="1:15" x14ac:dyDescent="0.25">
      <c r="A226" s="29"/>
      <c r="B226" s="29"/>
      <c r="C226" s="29"/>
      <c r="D226" s="29"/>
      <c r="E226" s="29"/>
      <c r="F226" s="29"/>
      <c r="G226" s="29"/>
      <c r="H226" s="29"/>
      <c r="I226" s="29"/>
      <c r="J226" s="29"/>
      <c r="K226" s="29"/>
      <c r="L226" s="29"/>
      <c r="M226" s="29"/>
      <c r="N226" s="29"/>
      <c r="O226" s="29"/>
    </row>
    <row r="227" spans="1:15" x14ac:dyDescent="0.25">
      <c r="A227" s="29"/>
      <c r="B227" s="29"/>
      <c r="C227" s="29"/>
      <c r="D227" s="29"/>
      <c r="E227" s="29"/>
      <c r="F227" s="29"/>
      <c r="G227" s="29"/>
      <c r="H227" s="29"/>
      <c r="I227" s="29"/>
      <c r="J227" s="29"/>
      <c r="K227" s="29"/>
      <c r="L227" s="29"/>
      <c r="M227" s="29"/>
      <c r="N227" s="29"/>
      <c r="O227" s="29"/>
    </row>
    <row r="228" spans="1:15" x14ac:dyDescent="0.25">
      <c r="A228" s="29"/>
      <c r="B228" s="29"/>
      <c r="C228" s="29"/>
      <c r="D228" s="29"/>
      <c r="E228" s="29"/>
      <c r="F228" s="29"/>
      <c r="G228" s="29"/>
      <c r="H228" s="29"/>
      <c r="I228" s="29"/>
      <c r="J228" s="29"/>
      <c r="K228" s="29"/>
      <c r="L228" s="29"/>
      <c r="M228" s="29"/>
      <c r="N228" s="29"/>
      <c r="O228" s="29"/>
    </row>
    <row r="229" spans="1:15" x14ac:dyDescent="0.25">
      <c r="A229" s="29"/>
      <c r="B229" s="29"/>
      <c r="C229" s="29"/>
      <c r="D229" s="29"/>
      <c r="E229" s="29"/>
      <c r="F229" s="29"/>
      <c r="G229" s="29"/>
      <c r="H229" s="29"/>
      <c r="I229" s="29"/>
      <c r="J229" s="29"/>
      <c r="K229" s="29"/>
      <c r="L229" s="29"/>
      <c r="M229" s="29"/>
      <c r="N229" s="29"/>
      <c r="O229" s="29"/>
    </row>
    <row r="230" spans="1:15" x14ac:dyDescent="0.25">
      <c r="A230" s="29"/>
      <c r="B230" s="29"/>
      <c r="C230" s="29"/>
      <c r="D230" s="29"/>
      <c r="E230" s="29"/>
      <c r="F230" s="29"/>
      <c r="G230" s="29"/>
      <c r="H230" s="29"/>
      <c r="I230" s="29"/>
      <c r="J230" s="29"/>
      <c r="K230" s="29"/>
      <c r="L230" s="29"/>
      <c r="M230" s="29"/>
      <c r="N230" s="29"/>
      <c r="O230" s="29"/>
    </row>
    <row r="231" spans="1:15" x14ac:dyDescent="0.25">
      <c r="A231" s="29"/>
      <c r="B231" s="29"/>
      <c r="C231" s="29"/>
      <c r="D231" s="29"/>
      <c r="E231" s="29"/>
      <c r="F231" s="29"/>
      <c r="G231" s="29"/>
      <c r="H231" s="29"/>
      <c r="I231" s="29"/>
      <c r="J231" s="29"/>
      <c r="K231" s="29"/>
      <c r="L231" s="29"/>
      <c r="M231" s="29"/>
      <c r="N231" s="29"/>
      <c r="O231" s="29"/>
    </row>
    <row r="232" spans="1:15" x14ac:dyDescent="0.25">
      <c r="A232" s="29"/>
      <c r="B232" s="29"/>
      <c r="C232" s="29"/>
      <c r="D232" s="29"/>
      <c r="E232" s="29"/>
      <c r="F232" s="29"/>
      <c r="G232" s="29"/>
      <c r="H232" s="29"/>
      <c r="I232" s="29"/>
      <c r="J232" s="29"/>
      <c r="K232" s="29"/>
      <c r="L232" s="29"/>
      <c r="M232" s="29"/>
      <c r="N232" s="29"/>
      <c r="O232" s="29"/>
    </row>
    <row r="233" spans="1:15" x14ac:dyDescent="0.25">
      <c r="A233" s="29"/>
      <c r="B233" s="29"/>
      <c r="C233" s="29"/>
      <c r="D233" s="29"/>
      <c r="E233" s="29"/>
      <c r="F233" s="29"/>
      <c r="G233" s="29"/>
      <c r="H233" s="29"/>
      <c r="I233" s="29"/>
      <c r="J233" s="29"/>
      <c r="K233" s="29"/>
      <c r="L233" s="29"/>
      <c r="M233" s="29"/>
      <c r="N233" s="29"/>
      <c r="O233" s="29"/>
    </row>
    <row r="234" spans="1:15" x14ac:dyDescent="0.25">
      <c r="A234" s="29"/>
      <c r="B234" s="29"/>
      <c r="C234" s="29"/>
      <c r="D234" s="29"/>
      <c r="E234" s="29"/>
      <c r="F234" s="29"/>
      <c r="G234" s="29"/>
      <c r="H234" s="29"/>
      <c r="I234" s="29"/>
      <c r="J234" s="29"/>
      <c r="K234" s="29"/>
      <c r="L234" s="29"/>
      <c r="M234" s="29"/>
      <c r="N234" s="29"/>
      <c r="O234" s="29"/>
    </row>
    <row r="235" spans="1:15" x14ac:dyDescent="0.25">
      <c r="A235" s="29"/>
      <c r="B235" s="29"/>
      <c r="C235" s="29"/>
      <c r="D235" s="29"/>
      <c r="E235" s="29"/>
      <c r="F235" s="29"/>
      <c r="G235" s="29"/>
      <c r="H235" s="29"/>
      <c r="I235" s="29"/>
      <c r="J235" s="29"/>
      <c r="K235" s="29"/>
      <c r="L235" s="29"/>
      <c r="M235" s="29"/>
      <c r="N235" s="29"/>
      <c r="O235" s="29"/>
    </row>
    <row r="236" spans="1:15" x14ac:dyDescent="0.25">
      <c r="A236" s="29"/>
      <c r="B236" s="29"/>
      <c r="C236" s="29"/>
      <c r="D236" s="29"/>
      <c r="E236" s="29"/>
      <c r="F236" s="29"/>
      <c r="G236" s="29"/>
      <c r="H236" s="29"/>
      <c r="I236" s="29"/>
      <c r="J236" s="29"/>
      <c r="K236" s="29"/>
      <c r="L236" s="29"/>
      <c r="M236" s="29"/>
      <c r="N236" s="29"/>
      <c r="O236" s="29"/>
    </row>
    <row r="237" spans="1:15" x14ac:dyDescent="0.25">
      <c r="A237" s="29"/>
      <c r="B237" s="29"/>
      <c r="C237" s="29"/>
      <c r="D237" s="29"/>
      <c r="E237" s="29"/>
      <c r="F237" s="29"/>
      <c r="G237" s="29"/>
      <c r="H237" s="29"/>
      <c r="I237" s="29"/>
      <c r="J237" s="29"/>
      <c r="K237" s="29"/>
      <c r="L237" s="29"/>
      <c r="M237" s="29"/>
      <c r="N237" s="29"/>
      <c r="O237" s="29"/>
    </row>
    <row r="238" spans="1:15" x14ac:dyDescent="0.25">
      <c r="A238" s="29"/>
      <c r="B238" s="29"/>
      <c r="C238" s="29"/>
      <c r="D238" s="29"/>
      <c r="E238" s="29"/>
      <c r="F238" s="29"/>
      <c r="G238" s="29"/>
      <c r="H238" s="29"/>
      <c r="I238" s="29"/>
      <c r="J238" s="29"/>
      <c r="K238" s="29"/>
      <c r="L238" s="29"/>
      <c r="M238" s="29"/>
      <c r="N238" s="29"/>
      <c r="O238" s="29"/>
    </row>
    <row r="239" spans="1:15" x14ac:dyDescent="0.25">
      <c r="A239" s="29"/>
      <c r="B239" s="29"/>
      <c r="C239" s="29"/>
      <c r="D239" s="29"/>
      <c r="E239" s="29"/>
      <c r="F239" s="29"/>
      <c r="G239" s="29"/>
      <c r="H239" s="29"/>
      <c r="I239" s="29"/>
      <c r="J239" s="29"/>
      <c r="K239" s="29"/>
      <c r="L239" s="29"/>
      <c r="M239" s="29"/>
      <c r="N239" s="29"/>
      <c r="O239" s="29"/>
    </row>
    <row r="240" spans="1:15" x14ac:dyDescent="0.25">
      <c r="A240" s="29"/>
      <c r="B240" s="29"/>
      <c r="C240" s="29"/>
      <c r="D240" s="29"/>
      <c r="E240" s="29"/>
      <c r="F240" s="29"/>
      <c r="G240" s="29"/>
      <c r="H240" s="29"/>
      <c r="I240" s="29"/>
      <c r="J240" s="29"/>
      <c r="K240" s="29"/>
      <c r="L240" s="29"/>
      <c r="M240" s="29"/>
      <c r="N240" s="29"/>
      <c r="O240" s="29"/>
    </row>
    <row r="241" spans="1:15" x14ac:dyDescent="0.25">
      <c r="A241" s="29"/>
      <c r="B241" s="29"/>
      <c r="C241" s="29"/>
      <c r="D241" s="29"/>
      <c r="E241" s="29"/>
      <c r="F241" s="29"/>
      <c r="G241" s="29"/>
      <c r="H241" s="29"/>
      <c r="I241" s="29"/>
      <c r="J241" s="29"/>
      <c r="K241" s="29"/>
      <c r="L241" s="29"/>
      <c r="M241" s="29"/>
      <c r="N241" s="29"/>
      <c r="O241" s="29"/>
    </row>
    <row r="242" spans="1:15" x14ac:dyDescent="0.25">
      <c r="A242" s="29"/>
      <c r="B242" s="29"/>
      <c r="C242" s="29"/>
      <c r="D242" s="29"/>
      <c r="E242" s="29"/>
      <c r="F242" s="29"/>
      <c r="G242" s="29"/>
      <c r="H242" s="29"/>
      <c r="I242" s="29"/>
      <c r="J242" s="29"/>
      <c r="K242" s="29"/>
      <c r="L242" s="29"/>
      <c r="M242" s="29"/>
      <c r="N242" s="29"/>
      <c r="O242" s="29"/>
    </row>
    <row r="243" spans="1:15" x14ac:dyDescent="0.25">
      <c r="A243" s="29"/>
      <c r="B243" s="29"/>
      <c r="C243" s="29"/>
      <c r="D243" s="29"/>
      <c r="E243" s="29"/>
      <c r="F243" s="29"/>
      <c r="G243" s="29"/>
      <c r="H243" s="29"/>
      <c r="I243" s="29"/>
      <c r="J243" s="29"/>
      <c r="K243" s="29"/>
      <c r="L243" s="29"/>
      <c r="M243" s="29"/>
      <c r="N243" s="29"/>
      <c r="O243" s="29"/>
    </row>
    <row r="244" spans="1:15" x14ac:dyDescent="0.25">
      <c r="A244" s="29"/>
      <c r="B244" s="29"/>
      <c r="C244" s="29"/>
      <c r="D244" s="29"/>
      <c r="E244" s="29"/>
      <c r="F244" s="29"/>
      <c r="G244" s="29"/>
      <c r="H244" s="29"/>
      <c r="I244" s="29"/>
      <c r="J244" s="29"/>
      <c r="K244" s="29"/>
      <c r="L244" s="29"/>
      <c r="M244" s="29"/>
      <c r="N244" s="29"/>
      <c r="O244" s="29"/>
    </row>
    <row r="245" spans="1:15" x14ac:dyDescent="0.25">
      <c r="A245" s="29"/>
      <c r="B245" s="29"/>
      <c r="C245" s="29"/>
      <c r="D245" s="29"/>
      <c r="E245" s="29"/>
      <c r="F245" s="29"/>
      <c r="G245" s="29"/>
      <c r="H245" s="29"/>
      <c r="I245" s="29"/>
      <c r="J245" s="29"/>
      <c r="K245" s="29"/>
      <c r="L245" s="29"/>
      <c r="M245" s="29"/>
      <c r="N245" s="29"/>
      <c r="O245" s="29"/>
    </row>
    <row r="246" spans="1:15" x14ac:dyDescent="0.25">
      <c r="A246" s="29"/>
      <c r="B246" s="29"/>
      <c r="C246" s="29"/>
      <c r="D246" s="29"/>
      <c r="E246" s="29"/>
      <c r="F246" s="29"/>
      <c r="G246" s="29"/>
      <c r="H246" s="29"/>
      <c r="I246" s="29"/>
      <c r="J246" s="29"/>
      <c r="K246" s="29"/>
      <c r="L246" s="29"/>
      <c r="M246" s="29"/>
      <c r="N246" s="29"/>
      <c r="O246" s="29"/>
    </row>
    <row r="247" spans="1:15" x14ac:dyDescent="0.25">
      <c r="A247" s="29"/>
      <c r="B247" s="29"/>
      <c r="C247" s="29"/>
      <c r="D247" s="29"/>
      <c r="E247" s="29"/>
      <c r="F247" s="29"/>
      <c r="G247" s="29"/>
      <c r="H247" s="29"/>
      <c r="I247" s="29"/>
      <c r="J247" s="29"/>
      <c r="K247" s="29"/>
      <c r="L247" s="29"/>
      <c r="M247" s="29"/>
      <c r="N247" s="29"/>
      <c r="O247" s="29"/>
    </row>
    <row r="248" spans="1:15" x14ac:dyDescent="0.25">
      <c r="A248" s="29"/>
      <c r="B248" s="29"/>
      <c r="C248" s="29"/>
      <c r="D248" s="29"/>
      <c r="E248" s="29"/>
      <c r="F248" s="29"/>
      <c r="G248" s="29"/>
      <c r="H248" s="29"/>
      <c r="I248" s="29"/>
      <c r="J248" s="29"/>
      <c r="K248" s="29"/>
      <c r="L248" s="29"/>
      <c r="M248" s="29"/>
      <c r="N248" s="29"/>
      <c r="O248" s="29"/>
    </row>
    <row r="249" spans="1:15" x14ac:dyDescent="0.25">
      <c r="A249" s="29"/>
      <c r="B249" s="29"/>
      <c r="C249" s="29"/>
      <c r="D249" s="29"/>
      <c r="E249" s="29"/>
      <c r="F249" s="29"/>
      <c r="G249" s="29"/>
      <c r="H249" s="29"/>
      <c r="I249" s="29"/>
      <c r="J249" s="29"/>
      <c r="K249" s="29"/>
      <c r="L249" s="29"/>
      <c r="M249" s="29"/>
      <c r="N249" s="29"/>
      <c r="O249" s="29"/>
    </row>
    <row r="250" spans="1:15" x14ac:dyDescent="0.25">
      <c r="A250" s="29"/>
      <c r="B250" s="29"/>
      <c r="C250" s="29"/>
      <c r="D250" s="29"/>
      <c r="E250" s="29"/>
      <c r="F250" s="29"/>
      <c r="G250" s="29"/>
      <c r="H250" s="29"/>
      <c r="I250" s="29"/>
      <c r="J250" s="29"/>
      <c r="K250" s="29"/>
      <c r="L250" s="29"/>
      <c r="M250" s="29"/>
      <c r="N250" s="29"/>
      <c r="O250" s="29"/>
    </row>
    <row r="251" spans="1:15" x14ac:dyDescent="0.25">
      <c r="A251" s="29"/>
      <c r="B251" s="29"/>
      <c r="C251" s="29"/>
      <c r="D251" s="29"/>
      <c r="E251" s="29"/>
      <c r="F251" s="29"/>
      <c r="G251" s="29"/>
      <c r="H251" s="29"/>
      <c r="I251" s="29"/>
      <c r="J251" s="29"/>
      <c r="K251" s="29"/>
      <c r="L251" s="29"/>
      <c r="M251" s="29"/>
      <c r="N251" s="29"/>
      <c r="O251" s="29"/>
    </row>
    <row r="252" spans="1:15" x14ac:dyDescent="0.25">
      <c r="A252" s="29"/>
      <c r="B252" s="29"/>
      <c r="C252" s="29"/>
      <c r="D252" s="29"/>
      <c r="E252" s="29"/>
      <c r="F252" s="29"/>
      <c r="G252" s="29"/>
      <c r="H252" s="29"/>
      <c r="I252" s="29"/>
      <c r="J252" s="29"/>
      <c r="K252" s="29"/>
      <c r="L252" s="29"/>
      <c r="M252" s="29"/>
      <c r="N252" s="29"/>
      <c r="O252" s="29"/>
    </row>
    <row r="253" spans="1:15" x14ac:dyDescent="0.25">
      <c r="A253" s="29"/>
      <c r="B253" s="29"/>
      <c r="C253" s="29"/>
      <c r="D253" s="29"/>
      <c r="E253" s="29"/>
      <c r="F253" s="29"/>
      <c r="G253" s="29"/>
      <c r="H253" s="29"/>
      <c r="I253" s="29"/>
      <c r="J253" s="29"/>
      <c r="K253" s="29"/>
      <c r="L253" s="29"/>
      <c r="M253" s="29"/>
      <c r="N253" s="29"/>
      <c r="O253" s="29"/>
    </row>
    <row r="254" spans="1:15" x14ac:dyDescent="0.25">
      <c r="A254" s="29"/>
      <c r="B254" s="29"/>
      <c r="C254" s="29"/>
      <c r="D254" s="29"/>
      <c r="E254" s="29"/>
      <c r="F254" s="29"/>
      <c r="G254" s="29"/>
      <c r="H254" s="29"/>
      <c r="I254" s="29"/>
      <c r="J254" s="29"/>
      <c r="K254" s="29"/>
      <c r="L254" s="29"/>
      <c r="M254" s="29"/>
      <c r="N254" s="29"/>
      <c r="O254" s="29"/>
    </row>
    <row r="255" spans="1:15" x14ac:dyDescent="0.25">
      <c r="A255" s="29"/>
      <c r="B255" s="29"/>
      <c r="C255" s="29"/>
      <c r="D255" s="29"/>
      <c r="E255" s="29"/>
      <c r="F255" s="29"/>
      <c r="G255" s="29"/>
      <c r="H255" s="29"/>
      <c r="I255" s="29"/>
      <c r="J255" s="29"/>
      <c r="K255" s="29"/>
      <c r="L255" s="29"/>
      <c r="M255" s="29"/>
      <c r="N255" s="29"/>
      <c r="O255" s="29"/>
    </row>
    <row r="256" spans="1:15" x14ac:dyDescent="0.25">
      <c r="A256" s="29"/>
      <c r="B256" s="29"/>
      <c r="C256" s="29"/>
      <c r="D256" s="29"/>
      <c r="E256" s="29"/>
      <c r="F256" s="29"/>
      <c r="G256" s="29"/>
      <c r="H256" s="29"/>
      <c r="I256" s="29"/>
      <c r="J256" s="29"/>
      <c r="K256" s="29"/>
      <c r="L256" s="29"/>
      <c r="M256" s="29"/>
      <c r="N256" s="29"/>
      <c r="O256" s="29"/>
    </row>
    <row r="257" spans="1:15" x14ac:dyDescent="0.25">
      <c r="A257" s="29"/>
      <c r="B257" s="29"/>
      <c r="C257" s="29"/>
      <c r="D257" s="29"/>
      <c r="E257" s="29"/>
      <c r="F257" s="29"/>
      <c r="G257" s="29"/>
      <c r="H257" s="29"/>
      <c r="I257" s="29"/>
      <c r="J257" s="29"/>
      <c r="K257" s="29"/>
      <c r="L257" s="29"/>
      <c r="M257" s="29"/>
      <c r="N257" s="29"/>
      <c r="O257" s="29"/>
    </row>
    <row r="258" spans="1:15" x14ac:dyDescent="0.25">
      <c r="A258" s="29"/>
      <c r="B258" s="29"/>
      <c r="C258" s="29"/>
      <c r="D258" s="29"/>
      <c r="E258" s="29"/>
      <c r="F258" s="29"/>
      <c r="G258" s="29"/>
      <c r="H258" s="29"/>
      <c r="I258" s="29"/>
      <c r="J258" s="29"/>
      <c r="K258" s="29"/>
      <c r="L258" s="29"/>
      <c r="M258" s="29"/>
      <c r="N258" s="29"/>
      <c r="O258" s="29"/>
    </row>
    <row r="259" spans="1:15" x14ac:dyDescent="0.25">
      <c r="A259" s="29"/>
      <c r="B259" s="29"/>
      <c r="C259" s="29"/>
      <c r="D259" s="29"/>
      <c r="E259" s="29"/>
      <c r="F259" s="29"/>
      <c r="G259" s="29"/>
      <c r="H259" s="29"/>
      <c r="I259" s="29"/>
      <c r="J259" s="29"/>
      <c r="K259" s="29"/>
      <c r="L259" s="29"/>
      <c r="M259" s="29"/>
      <c r="N259" s="29"/>
      <c r="O259" s="29"/>
    </row>
    <row r="260" spans="1:15" x14ac:dyDescent="0.25">
      <c r="A260" s="29"/>
      <c r="B260" s="29"/>
      <c r="C260" s="29"/>
      <c r="D260" s="29"/>
      <c r="E260" s="29"/>
      <c r="F260" s="29"/>
      <c r="G260" s="29"/>
      <c r="H260" s="29"/>
      <c r="I260" s="29"/>
      <c r="J260" s="29"/>
      <c r="K260" s="29"/>
      <c r="L260" s="29"/>
      <c r="M260" s="29"/>
      <c r="N260" s="29"/>
      <c r="O260" s="29"/>
    </row>
    <row r="261" spans="1:15" x14ac:dyDescent="0.25">
      <c r="A261" s="29"/>
      <c r="B261" s="29"/>
      <c r="C261" s="29"/>
      <c r="D261" s="29"/>
      <c r="E261" s="29"/>
      <c r="F261" s="29"/>
      <c r="G261" s="29"/>
      <c r="H261" s="29"/>
      <c r="I261" s="29"/>
      <c r="J261" s="29"/>
      <c r="K261" s="29"/>
      <c r="L261" s="29"/>
      <c r="M261" s="29"/>
      <c r="N261" s="29"/>
      <c r="O261" s="29"/>
    </row>
    <row r="262" spans="1:15" x14ac:dyDescent="0.25">
      <c r="A262" s="29"/>
      <c r="B262" s="29"/>
      <c r="C262" s="29"/>
      <c r="D262" s="29"/>
      <c r="E262" s="29"/>
      <c r="F262" s="29"/>
      <c r="G262" s="29"/>
      <c r="H262" s="29"/>
      <c r="I262" s="29"/>
      <c r="J262" s="29"/>
      <c r="K262" s="29"/>
      <c r="L262" s="29"/>
      <c r="M262" s="29"/>
      <c r="N262" s="29"/>
      <c r="O262" s="29"/>
    </row>
    <row r="263" spans="1:15" x14ac:dyDescent="0.25">
      <c r="A263" s="29"/>
      <c r="B263" s="29"/>
      <c r="C263" s="29"/>
      <c r="D263" s="29"/>
      <c r="E263" s="29"/>
      <c r="F263" s="29"/>
      <c r="G263" s="29"/>
      <c r="H263" s="29"/>
      <c r="I263" s="29"/>
      <c r="J263" s="29"/>
      <c r="K263" s="29"/>
      <c r="L263" s="29"/>
      <c r="M263" s="29"/>
      <c r="N263" s="29"/>
      <c r="O263" s="29"/>
    </row>
    <row r="264" spans="1:15" x14ac:dyDescent="0.25">
      <c r="A264" s="29"/>
      <c r="B264" s="29"/>
      <c r="C264" s="29"/>
      <c r="D264" s="29"/>
      <c r="E264" s="29"/>
      <c r="F264" s="29"/>
      <c r="G264" s="29"/>
      <c r="H264" s="29"/>
      <c r="I264" s="29"/>
      <c r="J264" s="29"/>
      <c r="K264" s="29"/>
      <c r="L264" s="29"/>
      <c r="M264" s="29"/>
      <c r="N264" s="29"/>
      <c r="O264" s="29"/>
    </row>
    <row r="265" spans="1:15" x14ac:dyDescent="0.25">
      <c r="A265" s="29"/>
      <c r="B265" s="29"/>
      <c r="C265" s="29"/>
      <c r="D265" s="29"/>
      <c r="E265" s="29"/>
      <c r="F265" s="29"/>
      <c r="G265" s="29"/>
      <c r="H265" s="29"/>
      <c r="I265" s="29"/>
      <c r="J265" s="29"/>
      <c r="K265" s="29"/>
      <c r="L265" s="29"/>
      <c r="M265" s="29"/>
      <c r="N265" s="29"/>
      <c r="O265" s="29"/>
    </row>
    <row r="266" spans="1:15" x14ac:dyDescent="0.25">
      <c r="A266" s="29"/>
      <c r="B266" s="29"/>
      <c r="C266" s="29"/>
      <c r="D266" s="29"/>
      <c r="E266" s="29"/>
      <c r="F266" s="29"/>
      <c r="G266" s="29"/>
      <c r="H266" s="29"/>
      <c r="I266" s="29"/>
      <c r="J266" s="29"/>
      <c r="K266" s="29"/>
      <c r="L266" s="29"/>
      <c r="M266" s="29"/>
      <c r="N266" s="29"/>
      <c r="O266" s="29"/>
    </row>
    <row r="267" spans="1:15" x14ac:dyDescent="0.25">
      <c r="A267" s="29"/>
      <c r="B267" s="29"/>
      <c r="C267" s="29"/>
      <c r="D267" s="29"/>
      <c r="E267" s="29"/>
      <c r="F267" s="29"/>
      <c r="G267" s="29"/>
      <c r="H267" s="29"/>
      <c r="I267" s="29"/>
      <c r="J267" s="29"/>
      <c r="K267" s="29"/>
      <c r="L267" s="29"/>
      <c r="M267" s="29"/>
      <c r="N267" s="29"/>
      <c r="O267" s="29"/>
    </row>
    <row r="268" spans="1:15" x14ac:dyDescent="0.25">
      <c r="A268" s="29"/>
      <c r="B268" s="29"/>
      <c r="C268" s="29"/>
      <c r="D268" s="29"/>
      <c r="E268" s="29"/>
      <c r="F268" s="29"/>
      <c r="G268" s="29"/>
      <c r="H268" s="29"/>
      <c r="I268" s="29"/>
      <c r="J268" s="29"/>
      <c r="K268" s="29"/>
      <c r="L268" s="29"/>
      <c r="M268" s="29"/>
      <c r="N268" s="29"/>
      <c r="O268" s="29"/>
    </row>
    <row r="269" spans="1:15" x14ac:dyDescent="0.25">
      <c r="A269" s="29"/>
      <c r="B269" s="29"/>
      <c r="C269" s="29"/>
      <c r="D269" s="29"/>
      <c r="E269" s="29"/>
      <c r="F269" s="29"/>
      <c r="G269" s="29"/>
      <c r="H269" s="29"/>
      <c r="I269" s="29"/>
      <c r="J269" s="29"/>
      <c r="K269" s="29"/>
      <c r="L269" s="29"/>
      <c r="M269" s="29"/>
      <c r="N269" s="29"/>
      <c r="O269" s="29"/>
    </row>
    <row r="270" spans="1:15" x14ac:dyDescent="0.25">
      <c r="A270" s="29"/>
      <c r="B270" s="29"/>
      <c r="C270" s="29"/>
      <c r="D270" s="29"/>
      <c r="E270" s="29"/>
      <c r="F270" s="29"/>
      <c r="G270" s="29"/>
      <c r="H270" s="29"/>
      <c r="I270" s="29"/>
      <c r="J270" s="29"/>
      <c r="K270" s="29"/>
      <c r="L270" s="29"/>
      <c r="M270" s="29"/>
      <c r="N270" s="29"/>
      <c r="O270" s="29"/>
    </row>
    <row r="271" spans="1:15" x14ac:dyDescent="0.25">
      <c r="A271" s="29"/>
      <c r="B271" s="29"/>
      <c r="C271" s="29"/>
      <c r="D271" s="29"/>
      <c r="E271" s="29"/>
      <c r="F271" s="29"/>
      <c r="G271" s="29"/>
      <c r="H271" s="29"/>
      <c r="I271" s="29"/>
      <c r="J271" s="29"/>
      <c r="K271" s="29"/>
      <c r="L271" s="29"/>
      <c r="M271" s="29"/>
      <c r="N271" s="29"/>
      <c r="O271" s="29"/>
    </row>
    <row r="272" spans="1:15" x14ac:dyDescent="0.25">
      <c r="A272" s="29"/>
      <c r="B272" s="29"/>
      <c r="C272" s="29"/>
      <c r="D272" s="29"/>
      <c r="E272" s="29"/>
      <c r="F272" s="29"/>
      <c r="G272" s="29"/>
      <c r="H272" s="29"/>
      <c r="I272" s="29"/>
      <c r="J272" s="29"/>
      <c r="K272" s="29"/>
      <c r="L272" s="29"/>
      <c r="M272" s="29"/>
      <c r="N272" s="29"/>
      <c r="O272" s="29"/>
    </row>
    <row r="273" spans="1:15" x14ac:dyDescent="0.25">
      <c r="A273" s="29"/>
      <c r="B273" s="29"/>
      <c r="C273" s="29"/>
      <c r="D273" s="29"/>
      <c r="E273" s="29"/>
      <c r="F273" s="29"/>
      <c r="G273" s="29"/>
      <c r="H273" s="29"/>
      <c r="I273" s="29"/>
      <c r="J273" s="29"/>
      <c r="K273" s="29"/>
      <c r="L273" s="29"/>
      <c r="M273" s="29"/>
      <c r="N273" s="29"/>
      <c r="O273" s="29"/>
    </row>
    <row r="274" spans="1:15" x14ac:dyDescent="0.25">
      <c r="A274" s="29"/>
      <c r="B274" s="29"/>
      <c r="C274" s="29"/>
      <c r="D274" s="29"/>
      <c r="E274" s="29"/>
      <c r="F274" s="29"/>
      <c r="G274" s="29"/>
      <c r="H274" s="29"/>
      <c r="I274" s="29"/>
      <c r="J274" s="29"/>
      <c r="K274" s="29"/>
      <c r="L274" s="29"/>
      <c r="M274" s="29"/>
      <c r="N274" s="29"/>
      <c r="O274" s="29"/>
    </row>
    <row r="275" spans="1:15" x14ac:dyDescent="0.25">
      <c r="A275" s="29"/>
      <c r="B275" s="29"/>
      <c r="C275" s="29"/>
      <c r="D275" s="29"/>
      <c r="E275" s="29"/>
      <c r="F275" s="29"/>
      <c r="G275" s="29"/>
      <c r="H275" s="29"/>
      <c r="I275" s="29"/>
      <c r="J275" s="29"/>
      <c r="K275" s="29"/>
      <c r="L275" s="29"/>
      <c r="M275" s="29"/>
      <c r="N275" s="29"/>
      <c r="O275" s="29"/>
    </row>
    <row r="276" spans="1:15" x14ac:dyDescent="0.25">
      <c r="A276" s="29"/>
      <c r="B276" s="29"/>
      <c r="C276" s="29"/>
      <c r="D276" s="29"/>
      <c r="E276" s="29"/>
      <c r="F276" s="29"/>
      <c r="G276" s="29"/>
      <c r="H276" s="29"/>
      <c r="I276" s="29"/>
      <c r="J276" s="29"/>
      <c r="K276" s="29"/>
      <c r="L276" s="29"/>
      <c r="M276" s="29"/>
      <c r="N276" s="29"/>
      <c r="O276" s="29"/>
    </row>
    <row r="277" spans="1:15" x14ac:dyDescent="0.25">
      <c r="A277" s="29"/>
      <c r="B277" s="29"/>
      <c r="C277" s="29"/>
      <c r="D277" s="29"/>
      <c r="E277" s="29"/>
      <c r="F277" s="29"/>
      <c r="G277" s="29"/>
      <c r="H277" s="29"/>
      <c r="I277" s="29"/>
      <c r="J277" s="29"/>
      <c r="K277" s="29"/>
      <c r="L277" s="29"/>
      <c r="M277" s="29"/>
      <c r="N277" s="29"/>
      <c r="O277" s="29"/>
    </row>
    <row r="278" spans="1:15" x14ac:dyDescent="0.25">
      <c r="A278" s="29"/>
      <c r="B278" s="29"/>
      <c r="C278" s="29"/>
      <c r="D278" s="29"/>
      <c r="E278" s="29"/>
      <c r="F278" s="29"/>
      <c r="G278" s="29"/>
      <c r="H278" s="29"/>
      <c r="I278" s="29"/>
      <c r="J278" s="29"/>
      <c r="K278" s="29"/>
      <c r="L278" s="29"/>
      <c r="M278" s="29"/>
      <c r="N278" s="29"/>
      <c r="O278" s="29"/>
    </row>
    <row r="279" spans="1:15" x14ac:dyDescent="0.25">
      <c r="A279" s="29"/>
      <c r="B279" s="29"/>
      <c r="C279" s="29"/>
      <c r="D279" s="29"/>
      <c r="E279" s="29"/>
      <c r="F279" s="29"/>
      <c r="G279" s="29"/>
      <c r="H279" s="29"/>
      <c r="I279" s="29"/>
      <c r="J279" s="29"/>
      <c r="K279" s="29"/>
      <c r="L279" s="29"/>
      <c r="M279" s="29"/>
      <c r="N279" s="29"/>
      <c r="O279" s="29"/>
    </row>
    <row r="280" spans="1:15" x14ac:dyDescent="0.25">
      <c r="A280" s="29"/>
      <c r="B280" s="29"/>
      <c r="C280" s="29"/>
      <c r="D280" s="29"/>
      <c r="E280" s="29"/>
      <c r="F280" s="29"/>
      <c r="G280" s="29"/>
      <c r="H280" s="29"/>
      <c r="I280" s="29"/>
      <c r="J280" s="29"/>
      <c r="K280" s="29"/>
      <c r="L280" s="29"/>
      <c r="M280" s="29"/>
      <c r="N280" s="29"/>
      <c r="O280" s="29"/>
    </row>
    <row r="281" spans="1:15" x14ac:dyDescent="0.25">
      <c r="A281" s="29"/>
      <c r="B281" s="29"/>
      <c r="C281" s="29"/>
      <c r="D281" s="29"/>
      <c r="E281" s="29"/>
      <c r="F281" s="29"/>
      <c r="G281" s="29"/>
      <c r="H281" s="29"/>
      <c r="I281" s="29"/>
      <c r="J281" s="29"/>
      <c r="K281" s="29"/>
      <c r="L281" s="29"/>
      <c r="M281" s="29"/>
      <c r="N281" s="29"/>
      <c r="O281" s="29"/>
    </row>
    <row r="282" spans="1:15" x14ac:dyDescent="0.25">
      <c r="A282" s="29"/>
      <c r="B282" s="29"/>
      <c r="C282" s="29"/>
      <c r="D282" s="29"/>
      <c r="E282" s="29"/>
      <c r="F282" s="29"/>
      <c r="G282" s="29"/>
      <c r="H282" s="29"/>
      <c r="I282" s="29"/>
      <c r="J282" s="29"/>
      <c r="K282" s="29"/>
      <c r="L282" s="29"/>
      <c r="M282" s="29"/>
      <c r="N282" s="29"/>
      <c r="O282" s="29"/>
    </row>
    <row r="283" spans="1:15" x14ac:dyDescent="0.25">
      <c r="A283" s="29"/>
      <c r="B283" s="29"/>
      <c r="C283" s="29"/>
      <c r="D283" s="29"/>
      <c r="E283" s="29"/>
      <c r="F283" s="29"/>
      <c r="G283" s="29"/>
      <c r="H283" s="29"/>
      <c r="I283" s="29"/>
      <c r="J283" s="29"/>
      <c r="K283" s="29"/>
      <c r="L283" s="29"/>
      <c r="M283" s="29"/>
      <c r="N283" s="29"/>
      <c r="O283" s="29"/>
    </row>
    <row r="284" spans="1:15" x14ac:dyDescent="0.25">
      <c r="A284" s="29"/>
      <c r="B284" s="29"/>
      <c r="C284" s="29"/>
      <c r="D284" s="29"/>
      <c r="E284" s="29"/>
      <c r="F284" s="29"/>
      <c r="G284" s="29"/>
      <c r="H284" s="29"/>
      <c r="I284" s="29"/>
      <c r="J284" s="29"/>
      <c r="K284" s="29"/>
      <c r="L284" s="29"/>
      <c r="M284" s="29"/>
      <c r="N284" s="29"/>
      <c r="O284" s="29"/>
    </row>
    <row r="285" spans="1:15" x14ac:dyDescent="0.25">
      <c r="A285" s="29"/>
      <c r="B285" s="29"/>
      <c r="C285" s="29"/>
      <c r="D285" s="29"/>
      <c r="E285" s="29"/>
      <c r="F285" s="29"/>
      <c r="G285" s="29"/>
      <c r="H285" s="29"/>
      <c r="I285" s="29"/>
      <c r="J285" s="29"/>
      <c r="K285" s="29"/>
      <c r="L285" s="29"/>
      <c r="M285" s="29"/>
      <c r="N285" s="29"/>
      <c r="O285" s="29"/>
    </row>
    <row r="286" spans="1:15" x14ac:dyDescent="0.25">
      <c r="A286" s="29"/>
      <c r="B286" s="29"/>
      <c r="C286" s="29"/>
      <c r="D286" s="29"/>
      <c r="E286" s="29"/>
      <c r="F286" s="29"/>
      <c r="G286" s="29"/>
      <c r="H286" s="29"/>
      <c r="I286" s="29"/>
      <c r="J286" s="29"/>
      <c r="K286" s="29"/>
      <c r="L286" s="29"/>
      <c r="M286" s="29"/>
      <c r="N286" s="29"/>
      <c r="O286" s="29"/>
    </row>
    <row r="287" spans="1:15" x14ac:dyDescent="0.25">
      <c r="A287" s="29"/>
      <c r="B287" s="29"/>
      <c r="C287" s="29"/>
      <c r="D287" s="29"/>
      <c r="E287" s="29"/>
      <c r="F287" s="29"/>
      <c r="G287" s="29"/>
      <c r="H287" s="29"/>
      <c r="I287" s="29"/>
      <c r="J287" s="29"/>
      <c r="K287" s="29"/>
      <c r="L287" s="29"/>
      <c r="M287" s="29"/>
      <c r="N287" s="29"/>
      <c r="O287" s="29"/>
    </row>
    <row r="288" spans="1:15" x14ac:dyDescent="0.25">
      <c r="A288" s="29"/>
      <c r="B288" s="29"/>
      <c r="C288" s="29"/>
      <c r="D288" s="29"/>
      <c r="E288" s="29"/>
      <c r="F288" s="29"/>
      <c r="G288" s="29"/>
      <c r="H288" s="29"/>
      <c r="I288" s="29"/>
      <c r="J288" s="29"/>
      <c r="K288" s="29"/>
      <c r="L288" s="29"/>
      <c r="M288" s="29"/>
      <c r="N288" s="29"/>
      <c r="O288" s="29"/>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A5D339-E37B-4940-BD2F-E6F55C6CA686}">
  <ds:schemaRefs>
    <ds:schemaRef ds:uri="http://schemas.microsoft.com/sharepoint/v3/contenttype/form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002A8D-890E-43A8-BD6D-0CE9268F95AE}">
  <ds:schemaRefs>
    <ds:schemaRef ds:uri="http://schemas.microsoft.com/office/2006/metadata/propertie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SRT Data</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2017-11-06T16:26:35Z</cp:lastPrinted>
  <dcterms:created xsi:type="dcterms:W3CDTF">2006-08-14T17:37:49Z</dcterms:created>
  <dcterms:modified xsi:type="dcterms:W3CDTF">2018-01-12T22:43:03Z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