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55" windowHeight="8385" firstSheet="2" activeTab="2"/>
  </bookViews>
  <sheets>
    <sheet name="Code Sheet" sheetId="2" r:id="rId1"/>
    <sheet name="SRT Data" sheetId="3" r:id="rId2"/>
    <sheet name="Report" sheetId="1" r:id="rId3"/>
    <sheet name="Efficiency Calculations" sheetId="4" r:id="rId4"/>
    <sheet name="Target Setting" sheetId="5" r:id="rId5"/>
  </sheets>
  <calcPr calcId="145621"/>
</workbook>
</file>

<file path=xl/calcChain.xml><?xml version="1.0" encoding="utf-8"?>
<calcChain xmlns="http://schemas.openxmlformats.org/spreadsheetml/2006/main">
  <c r="H17" i="1" l="1"/>
  <c r="Q14" i="5"/>
  <c r="R14" i="5"/>
  <c r="S14" i="5"/>
  <c r="T14" i="5"/>
  <c r="U14" i="5"/>
  <c r="V14" i="5"/>
  <c r="W14" i="5"/>
  <c r="X14" i="5"/>
  <c r="Y14" i="5"/>
  <c r="Z14" i="5"/>
  <c r="AA14" i="5"/>
  <c r="AB14" i="5"/>
  <c r="P14" i="5"/>
  <c r="B6" i="1" l="1"/>
  <c r="N38" i="4"/>
  <c r="N36" i="4"/>
  <c r="N49" i="4"/>
  <c r="N50" i="4"/>
  <c r="O50" i="4" s="1"/>
  <c r="N46" i="4"/>
  <c r="O45" i="4" s="1"/>
  <c r="N45" i="4"/>
  <c r="P23" i="1"/>
  <c r="P22" i="1"/>
  <c r="P21" i="1"/>
  <c r="P20" i="1"/>
  <c r="P19" i="1"/>
  <c r="P18" i="1"/>
  <c r="P16" i="1"/>
  <c r="P15" i="1"/>
  <c r="P17" i="1"/>
  <c r="P14" i="1"/>
  <c r="P13" i="1"/>
  <c r="P12" i="1"/>
  <c r="O21" i="1"/>
  <c r="O22" i="1"/>
  <c r="O11" i="1"/>
  <c r="P11" i="1"/>
  <c r="N30" i="4"/>
  <c r="N32" i="4"/>
  <c r="N20" i="4"/>
  <c r="F23" i="4" s="1"/>
  <c r="N19" i="4"/>
  <c r="F22" i="4" s="1"/>
  <c r="O8" i="4"/>
  <c r="B11" i="4" s="1"/>
  <c r="O7" i="4"/>
  <c r="B10" i="4" s="1"/>
  <c r="N7" i="4"/>
  <c r="N8" i="4"/>
  <c r="O23" i="1"/>
  <c r="O20" i="1"/>
  <c r="O19" i="1"/>
  <c r="O18" i="1"/>
  <c r="O17" i="1"/>
  <c r="O16" i="1"/>
  <c r="O15" i="1"/>
  <c r="O14" i="1"/>
  <c r="O13" i="1"/>
  <c r="O12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23" i="1"/>
  <c r="H22" i="1"/>
  <c r="H21" i="1"/>
  <c r="H20" i="1"/>
  <c r="H19" i="1"/>
  <c r="H18" i="1"/>
  <c r="H16" i="1"/>
  <c r="H15" i="1"/>
  <c r="H14" i="1"/>
  <c r="H13" i="1"/>
  <c r="H12" i="1"/>
  <c r="H11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23" i="1"/>
  <c r="D22" i="1"/>
  <c r="D21" i="1"/>
  <c r="A5" i="2"/>
  <c r="A10" i="2" s="1"/>
  <c r="A11" i="2" s="1"/>
  <c r="A12" i="2" s="1"/>
  <c r="A15" i="2" s="1"/>
  <c r="A16" i="2" s="1"/>
  <c r="A17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D11" i="1"/>
  <c r="D12" i="1"/>
  <c r="D13" i="1"/>
  <c r="D14" i="1"/>
  <c r="D15" i="1"/>
  <c r="D16" i="1"/>
  <c r="D17" i="1"/>
  <c r="D18" i="1"/>
  <c r="D19" i="1"/>
  <c r="D20" i="1"/>
  <c r="O37" i="4" l="1"/>
  <c r="Q16" i="1"/>
  <c r="Q22" i="1" s="1"/>
  <c r="Q12" i="1"/>
  <c r="Q18" i="1" s="1"/>
  <c r="Q14" i="1"/>
  <c r="Q20" i="1" s="1"/>
  <c r="Q15" i="1"/>
  <c r="Q21" i="1" s="1"/>
  <c r="Q13" i="1"/>
  <c r="Q19" i="1" s="1"/>
  <c r="Q11" i="1"/>
  <c r="Q17" i="1" s="1"/>
  <c r="Q23" i="1" s="1"/>
  <c r="O31" i="4"/>
  <c r="F24" i="4"/>
  <c r="A11" i="1" l="1"/>
  <c r="A18" i="1"/>
  <c r="A17" i="1"/>
  <c r="A20" i="1"/>
  <c r="A21" i="1"/>
  <c r="A23" i="1"/>
  <c r="A22" i="1"/>
  <c r="A14" i="1" l="1"/>
  <c r="A13" i="1"/>
  <c r="A12" i="1"/>
  <c r="A16" i="1"/>
  <c r="A15" i="1"/>
  <c r="A19" i="1"/>
</calcChain>
</file>

<file path=xl/comments1.xml><?xml version="1.0" encoding="utf-8"?>
<comments xmlns="http://schemas.openxmlformats.org/spreadsheetml/2006/main">
  <authors>
    <author>alucas</author>
  </authors>
  <commentList>
    <comment ref="Q5" authorId="0">
      <text>
        <r>
          <rPr>
            <b/>
            <sz val="8"/>
            <color indexed="81"/>
            <rFont val="Tahoma"/>
          </rPr>
          <t xml:space="preserve">Stanly County:
</t>
        </r>
        <r>
          <rPr>
            <sz val="8"/>
            <color indexed="81"/>
            <rFont val="Tahoma"/>
          </rPr>
          <t xml:space="preserve">
1  Agri-Civic Center
2  Airport
3  Animal Control
4  Board of Elections
5  Central Permitting
6 Cooperative Extension 
7 Emergency Mgt./Safety
8  EMS
9  Environmental Health
10 Facilities Maintenance
11  Health Department
12 Human Resources
13  Inspections
14  IT
15  Jail
16  Library
17  Pretrial Release Program
18  Planning &amp; Zoning
19  Register of Deeds
20  Road Naming
21  SCUSA
22  Sheriff's Office
23  Senior Services
24  Social Services
25  Soil &amp; Water Conservation
26 Tax Assessor
27  Tax Collector
28  Veteran Services 
29  Volunteer Fire
30  Utilities
31  911
32  Economic Development (EDC)
</t>
        </r>
      </text>
    </comment>
  </commentList>
</comments>
</file>

<file path=xl/sharedStrings.xml><?xml version="1.0" encoding="utf-8"?>
<sst xmlns="http://schemas.openxmlformats.org/spreadsheetml/2006/main" count="707" uniqueCount="553">
  <si>
    <t>Monthly Performance Report</t>
  </si>
  <si>
    <t>Department</t>
  </si>
  <si>
    <t>Performance Measures</t>
  </si>
  <si>
    <t>Code</t>
  </si>
  <si>
    <t>Airport</t>
  </si>
  <si>
    <t>Board of Elections</t>
  </si>
  <si>
    <t>Cooperative Extension</t>
  </si>
  <si>
    <t>Health Department</t>
  </si>
  <si>
    <t>Jail</t>
  </si>
  <si>
    <t>Library</t>
  </si>
  <si>
    <t>Register of Deeds</t>
  </si>
  <si>
    <t>Sheriff's Office</t>
  </si>
  <si>
    <t>Social Services</t>
  </si>
  <si>
    <t>Soil Conservation</t>
  </si>
  <si>
    <t>Tax Assessor</t>
  </si>
  <si>
    <t>Tax Collector</t>
  </si>
  <si>
    <t>Volunteer Fire</t>
  </si>
  <si>
    <t>Oct</t>
  </si>
  <si>
    <t>Nov</t>
  </si>
  <si>
    <t>Dec</t>
  </si>
  <si>
    <t>m1</t>
  </si>
  <si>
    <t>m2</t>
  </si>
  <si>
    <t>m3</t>
  </si>
  <si>
    <t>m4</t>
  </si>
  <si>
    <t>m5</t>
  </si>
  <si>
    <t># Registered voters</t>
  </si>
  <si>
    <t>% Voters using early voting</t>
  </si>
  <si>
    <t>EMS</t>
  </si>
  <si>
    <t># Fire inspections completed</t>
  </si>
  <si>
    <t># Inmates booked</t>
  </si>
  <si>
    <t># Inmates released</t>
  </si>
  <si>
    <t># Discoveries completed</t>
  </si>
  <si>
    <t># Business personal audits completed</t>
  </si>
  <si>
    <t># Exemption audits completed</t>
  </si>
  <si>
    <t># Calls for service</t>
  </si>
  <si>
    <t>Jan</t>
  </si>
  <si>
    <t>Feb</t>
  </si>
  <si>
    <t>Mar</t>
  </si>
  <si>
    <t>Apr</t>
  </si>
  <si>
    <t>May</t>
  </si>
  <si>
    <t>June</t>
  </si>
  <si>
    <t>Avg. daily population</t>
  </si>
  <si>
    <t>Avg. length of stay</t>
  </si>
  <si>
    <t>Fiscal Year</t>
  </si>
  <si>
    <t># Total service miles</t>
  </si>
  <si>
    <t># Total passengers</t>
  </si>
  <si>
    <t># Passengers per service hour</t>
  </si>
  <si>
    <t># Passengers per service mile</t>
  </si>
  <si>
    <t># Service hours</t>
  </si>
  <si>
    <t># Cost share applications received</t>
  </si>
  <si>
    <t># Work orders</t>
  </si>
  <si>
    <t>% Registered voters voting</t>
  </si>
  <si>
    <t>$ Cost per meal served</t>
  </si>
  <si>
    <t>% Reoccurence of maltreatment</t>
  </si>
  <si>
    <t># New HIV/AIDS cases reported</t>
  </si>
  <si>
    <t># Materials circulated main library</t>
  </si>
  <si>
    <t># Computer users</t>
  </si>
  <si>
    <t># Monthly patrons</t>
  </si>
  <si>
    <t># Vital records issued</t>
  </si>
  <si>
    <t># Copies purchased</t>
  </si>
  <si>
    <t>% TANF processing rate</t>
  </si>
  <si>
    <t>% FAC Medicaid processing rate</t>
  </si>
  <si>
    <t>% Adult Medicaid processing rate</t>
  </si>
  <si>
    <t>% Food stamp processing accuracy rate</t>
  </si>
  <si>
    <t># CAD calls generated per staff hour</t>
  </si>
  <si>
    <t># Total CAD generated calls answered</t>
  </si>
  <si>
    <t>Road Naming</t>
  </si>
  <si>
    <t>Avg. total call time (min.)</t>
  </si>
  <si>
    <t>Avg. response time (min.)</t>
  </si>
  <si>
    <t>% Real property tax levy collected</t>
  </si>
  <si>
    <t>% Vehicle tax levy collected</t>
  </si>
  <si>
    <t>% Mainframe availability</t>
  </si>
  <si>
    <t>% Server availability</t>
  </si>
  <si>
    <t># Children daycare waiting list</t>
  </si>
  <si>
    <t>Avg. dispatch time - law enforcement (min.)</t>
  </si>
  <si>
    <t>Environmental Health</t>
  </si>
  <si>
    <t># Animals placed in shelter</t>
  </si>
  <si>
    <t># Animal control contacts</t>
  </si>
  <si>
    <t>Avg. clients seen per day</t>
  </si>
  <si>
    <t># Building inspections completed</t>
  </si>
  <si>
    <t># Mfg. home inspections completed</t>
  </si>
  <si>
    <t># Electrical inspections completed</t>
  </si>
  <si>
    <t># Plumbing inspections completed</t>
  </si>
  <si>
    <t># Mechanical inspections completed</t>
  </si>
  <si>
    <t># Inspections completed per staff hour</t>
  </si>
  <si>
    <t># Inspections per business day</t>
  </si>
  <si>
    <t># Total permits issued</t>
  </si>
  <si>
    <t># Handgun permits issued</t>
  </si>
  <si>
    <t># Concealed weapons permits issued</t>
  </si>
  <si>
    <t># Court days (all types)</t>
  </si>
  <si>
    <t>$ Cost per passenger</t>
  </si>
  <si>
    <t>$ Cost per vehicle mile</t>
  </si>
  <si>
    <t># Inmates booked per day</t>
  </si>
  <si>
    <t>July</t>
  </si>
  <si>
    <t>Aug</t>
  </si>
  <si>
    <t>Sept</t>
  </si>
  <si>
    <t>rjl1</t>
  </si>
  <si>
    <t>rjl2</t>
  </si>
  <si>
    <t>rjl3</t>
  </si>
  <si>
    <t>rjl4</t>
  </si>
  <si>
    <t>rjl5</t>
  </si>
  <si>
    <t>rjl6</t>
  </si>
  <si>
    <t>rjl7</t>
  </si>
  <si>
    <t>rjl8</t>
  </si>
  <si>
    <t>rjl9</t>
  </si>
  <si>
    <t>rjl10</t>
  </si>
  <si>
    <t># Avg. calls for service per day</t>
  </si>
  <si>
    <t># Avg. work orders per day</t>
  </si>
  <si>
    <t># Medical calls - first responders</t>
  </si>
  <si>
    <t># Fire calls</t>
  </si>
  <si>
    <t>ra1</t>
  </si>
  <si>
    <t>ra2</t>
  </si>
  <si>
    <t>ra3</t>
  </si>
  <si>
    <t>ra4</t>
  </si>
  <si>
    <t>ra5</t>
  </si>
  <si>
    <t>ra6</t>
  </si>
  <si>
    <t>ra7</t>
  </si>
  <si>
    <t>ra8</t>
  </si>
  <si>
    <t>ra9</t>
  </si>
  <si>
    <t>ra10</t>
  </si>
  <si>
    <t>rs1</t>
  </si>
  <si>
    <t>rs2</t>
  </si>
  <si>
    <t>rs3</t>
  </si>
  <si>
    <t>rs4</t>
  </si>
  <si>
    <t>rs5</t>
  </si>
  <si>
    <t>rs6</t>
  </si>
  <si>
    <t>rs7</t>
  </si>
  <si>
    <t>rs8</t>
  </si>
  <si>
    <t>rs9</t>
  </si>
  <si>
    <t>rs10</t>
  </si>
  <si>
    <t>Avg. turnout/enroute time (min.)</t>
  </si>
  <si>
    <t># Minor subdivision plats signed</t>
  </si>
  <si>
    <t># Major subdivision plats signed</t>
  </si>
  <si>
    <t># Phone calls/walk-ins handled</t>
  </si>
  <si>
    <t># Requests reviewed for local towns</t>
  </si>
  <si>
    <t>roc1</t>
  </si>
  <si>
    <t>roc2</t>
  </si>
  <si>
    <t>roc3</t>
  </si>
  <si>
    <t>roc4</t>
  </si>
  <si>
    <t>roc5</t>
  </si>
  <si>
    <t>roc6</t>
  </si>
  <si>
    <t>roc7</t>
  </si>
  <si>
    <t>roc8</t>
  </si>
  <si>
    <t>roc9</t>
  </si>
  <si>
    <t>roc10</t>
  </si>
  <si>
    <t>rnv1</t>
  </si>
  <si>
    <t>rnv2</t>
  </si>
  <si>
    <t>rnv3</t>
  </si>
  <si>
    <t>rnv4</t>
  </si>
  <si>
    <t>rnv5</t>
  </si>
  <si>
    <t>rnv6</t>
  </si>
  <si>
    <t>rnv7</t>
  </si>
  <si>
    <t>rnv8</t>
  </si>
  <si>
    <t>rnv9</t>
  </si>
  <si>
    <t>rnv10</t>
  </si>
  <si>
    <t>rdc1</t>
  </si>
  <si>
    <t>rdc2</t>
  </si>
  <si>
    <t>rdc3</t>
  </si>
  <si>
    <t>rdc4</t>
  </si>
  <si>
    <t>rdc5</t>
  </si>
  <si>
    <t>rdc6</t>
  </si>
  <si>
    <t>rdc7</t>
  </si>
  <si>
    <t>rdc8</t>
  </si>
  <si>
    <t>rdc9</t>
  </si>
  <si>
    <t>rdc10</t>
  </si>
  <si>
    <t>rjy1</t>
  </si>
  <si>
    <t>rjy2</t>
  </si>
  <si>
    <t>rjy3</t>
  </si>
  <si>
    <t>rjy4</t>
  </si>
  <si>
    <t>rjy5</t>
  </si>
  <si>
    <t>rjy6</t>
  </si>
  <si>
    <t>rjy7</t>
  </si>
  <si>
    <t>rjy8</t>
  </si>
  <si>
    <t>rjy9</t>
  </si>
  <si>
    <t>rjy10</t>
  </si>
  <si>
    <t>rfb1</t>
  </si>
  <si>
    <t>rfb2</t>
  </si>
  <si>
    <t>rfb3</t>
  </si>
  <si>
    <t>rfb4</t>
  </si>
  <si>
    <t>rfb5</t>
  </si>
  <si>
    <t>rfb6</t>
  </si>
  <si>
    <t>rfb7</t>
  </si>
  <si>
    <t>rfb8</t>
  </si>
  <si>
    <t>rfb9</t>
  </si>
  <si>
    <t>rfb10</t>
  </si>
  <si>
    <t>rmc1</t>
  </si>
  <si>
    <t>rmc2</t>
  </si>
  <si>
    <t>rmc3</t>
  </si>
  <si>
    <t>rmc4</t>
  </si>
  <si>
    <t>rmc5</t>
  </si>
  <si>
    <t>rmc6</t>
  </si>
  <si>
    <t>rmc7</t>
  </si>
  <si>
    <t>rmc8</t>
  </si>
  <si>
    <t>rmc9</t>
  </si>
  <si>
    <t>rmc10</t>
  </si>
  <si>
    <t>Veteran Services</t>
  </si>
  <si>
    <t># VA clients served via office visit</t>
  </si>
  <si>
    <t># Worker's compensation claims</t>
  </si>
  <si>
    <t>rap1</t>
  </si>
  <si>
    <t>rap2</t>
  </si>
  <si>
    <t>rap3</t>
  </si>
  <si>
    <t>rap4</t>
  </si>
  <si>
    <t>rap5</t>
  </si>
  <si>
    <t>rap6</t>
  </si>
  <si>
    <t>rap7</t>
  </si>
  <si>
    <t>rap8</t>
  </si>
  <si>
    <t>rap9</t>
  </si>
  <si>
    <t>rap10</t>
  </si>
  <si>
    <t>rmy1</t>
  </si>
  <si>
    <t>rmy2</t>
  </si>
  <si>
    <t>rmy3</t>
  </si>
  <si>
    <t>rmy4</t>
  </si>
  <si>
    <t>rmy5</t>
  </si>
  <si>
    <t>rmy6</t>
  </si>
  <si>
    <t>rmy7</t>
  </si>
  <si>
    <t>rmy8</t>
  </si>
  <si>
    <t>rmy9</t>
  </si>
  <si>
    <t>rmy10</t>
  </si>
  <si>
    <t>rjn1</t>
  </si>
  <si>
    <t>rjn2</t>
  </si>
  <si>
    <t>rjn3</t>
  </si>
  <si>
    <t>rjn4</t>
  </si>
  <si>
    <t>rjn5</t>
  </si>
  <si>
    <t>rjn6</t>
  </si>
  <si>
    <t>rjn7</t>
  </si>
  <si>
    <t>rjn8</t>
  </si>
  <si>
    <t>rjn9</t>
  </si>
  <si>
    <t>rjn10</t>
  </si>
  <si>
    <t>Stanly County</t>
  </si>
  <si>
    <t>Agri-Civic Center</t>
  </si>
  <si>
    <t xml:space="preserve">m6 </t>
  </si>
  <si>
    <t>m7</t>
  </si>
  <si>
    <t xml:space="preserve">m8 </t>
  </si>
  <si>
    <t>m9</t>
  </si>
  <si>
    <t>m10</t>
  </si>
  <si>
    <t>Facilities Maintenance</t>
  </si>
  <si>
    <t>Inspections</t>
  </si>
  <si>
    <t>Senior Services</t>
  </si>
  <si>
    <t>IT</t>
  </si>
  <si>
    <t>Planning/Zoning</t>
  </si>
  <si>
    <t>Utilities</t>
  </si>
  <si>
    <t>SCUSA</t>
  </si>
  <si>
    <t>Emergency Management/Safety</t>
  </si>
  <si>
    <t>Animal Control</t>
  </si>
  <si>
    <t xml:space="preserve">$ Total revenue </t>
  </si>
  <si>
    <t xml:space="preserve"># Visitors </t>
  </si>
  <si>
    <t>% Commercial buildings reviewed w/10 days</t>
  </si>
  <si>
    <t xml:space="preserve"># Total materials circulated </t>
  </si>
  <si>
    <t># Zoning issues addressed</t>
  </si>
  <si>
    <t xml:space="preserve">% Zoning violations addressed w/in 5 days </t>
  </si>
  <si>
    <t xml:space="preserve"># Paid events </t>
  </si>
  <si>
    <t># Free events</t>
  </si>
  <si>
    <t># Operations</t>
  </si>
  <si>
    <t># Hangar units leased</t>
  </si>
  <si>
    <t># Tie down units leased</t>
  </si>
  <si>
    <t># AV gas sales (gallons)</t>
  </si>
  <si>
    <t># Jet A sales (gallons)</t>
  </si>
  <si>
    <t># Planning Board/BOA cases prepared</t>
  </si>
  <si>
    <t># Zoning permits approved</t>
  </si>
  <si>
    <t>% Zoning permit inspections done w/in 24 hrs.</t>
  </si>
  <si>
    <t># Total calls for County</t>
  </si>
  <si>
    <t xml:space="preserve"># Plan reviews for fire code </t>
  </si>
  <si>
    <t># EM/Fire Investigation response</t>
  </si>
  <si>
    <t># Property damage claims</t>
  </si>
  <si>
    <t># Clients served (In Home Services)</t>
  </si>
  <si>
    <t># Clients served (Information &amp; Referral)</t>
  </si>
  <si>
    <t># Clients served (Meal Program)</t>
  </si>
  <si>
    <t># Clients served (Transportation)</t>
  </si>
  <si>
    <t># Clients served-duplicated count (Center Activities)</t>
  </si>
  <si>
    <t># Hours spent on other facility projects</t>
  </si>
  <si>
    <t># Monthly virtual users</t>
  </si>
  <si>
    <t>Library vists per capita</t>
  </si>
  <si>
    <t>Library use per capita</t>
  </si>
  <si>
    <t>$ County cost per library use</t>
  </si>
  <si>
    <t># Payment/transactions</t>
  </si>
  <si>
    <t># Field work orders processed</t>
  </si>
  <si>
    <t># Active developer based projects</t>
  </si>
  <si>
    <t># Active construction projects (in-house)</t>
  </si>
  <si>
    <t># New CPS investigations/assessments received</t>
  </si>
  <si>
    <t>% Child support collection rate</t>
  </si>
  <si>
    <t>% Internet availability</t>
  </si>
  <si>
    <t>% Work orders complete w/in 5 days</t>
  </si>
  <si>
    <t>m11</t>
  </si>
  <si>
    <t>m12</t>
  </si>
  <si>
    <t>m13</t>
  </si>
  <si>
    <t># Animals adopted or placed</t>
  </si>
  <si>
    <t># Restaurant inspections completed</t>
  </si>
  <si>
    <t># Total inspection site visits</t>
  </si>
  <si>
    <t># Soil/Site evaluations performed</t>
  </si>
  <si>
    <t>% Evaluations completed w/in 10 days</t>
  </si>
  <si>
    <t>% Existing inspections conducted w/in 10 days</t>
  </si>
  <si>
    <t># Total on-site wastewater visits</t>
  </si>
  <si>
    <t>% Well evaluations completed w/in 10 days</t>
  </si>
  <si>
    <t># Total private well visits</t>
  </si>
  <si>
    <t># Water samples collected</t>
  </si>
  <si>
    <t>rjl11</t>
  </si>
  <si>
    <t>rjl12</t>
  </si>
  <si>
    <t>rjl13</t>
  </si>
  <si>
    <t>ra11</t>
  </si>
  <si>
    <t>ra12</t>
  </si>
  <si>
    <t>ra13</t>
  </si>
  <si>
    <t>rs11</t>
  </si>
  <si>
    <t>rs12</t>
  </si>
  <si>
    <t>rs13</t>
  </si>
  <si>
    <t>roc11</t>
  </si>
  <si>
    <t>roc12</t>
  </si>
  <si>
    <t>roc13</t>
  </si>
  <si>
    <t>rnv11</t>
  </si>
  <si>
    <t>rnv12</t>
  </si>
  <si>
    <t>rnv13</t>
  </si>
  <si>
    <t>rdc11</t>
  </si>
  <si>
    <t>rdc12</t>
  </si>
  <si>
    <t>rdc13</t>
  </si>
  <si>
    <t>rjy11</t>
  </si>
  <si>
    <t>rjy12</t>
  </si>
  <si>
    <t>rjy13</t>
  </si>
  <si>
    <t>rfb11</t>
  </si>
  <si>
    <t>rfb12</t>
  </si>
  <si>
    <t>rfb13</t>
  </si>
  <si>
    <t>rmc11</t>
  </si>
  <si>
    <t>rmc12</t>
  </si>
  <si>
    <t>rmc13</t>
  </si>
  <si>
    <t>rap11</t>
  </si>
  <si>
    <t>rap12</t>
  </si>
  <si>
    <t>rap13</t>
  </si>
  <si>
    <t>rmy11</t>
  </si>
  <si>
    <t>rmy12</t>
  </si>
  <si>
    <t>rmy13</t>
  </si>
  <si>
    <t>rjn11</t>
  </si>
  <si>
    <t>rjn12</t>
  </si>
  <si>
    <t>rjn13</t>
  </si>
  <si>
    <t># Clients seen by nurse practitioner</t>
  </si>
  <si>
    <t># Clients seen by public health nurse</t>
  </si>
  <si>
    <t># New TB cases reported</t>
  </si>
  <si>
    <t># Prenatal care visits</t>
  </si>
  <si>
    <t># Family planning visits</t>
  </si>
  <si>
    <t># WIC patients served</t>
  </si>
  <si>
    <t>Avg. dental clinic patients per day</t>
  </si>
  <si>
    <t># Dental clinic patients seen in OR</t>
  </si>
  <si>
    <t># Home health therapy visits</t>
  </si>
  <si>
    <t># Bite investigations</t>
  </si>
  <si>
    <t>% Criminal cases closed w/arrest</t>
  </si>
  <si>
    <t xml:space="preserve"> </t>
  </si>
  <si>
    <t># Civil papers and executions served</t>
  </si>
  <si>
    <t># Total criminal incidents</t>
  </si>
  <si>
    <t># Drug and vice cases initiated</t>
  </si>
  <si>
    <t># Total index crime incidents</t>
  </si>
  <si>
    <t>$ Total construction value (millions)</t>
  </si>
  <si>
    <t># Phosphorus waste reduced (pounds)</t>
  </si>
  <si>
    <t># Nitrogen waste reduced (pounds)</t>
  </si>
  <si>
    <t>Avg. response time -1st engine (minutes)</t>
  </si>
  <si>
    <t># Claims approved</t>
  </si>
  <si>
    <t>$ Back payments for claims approved</t>
  </si>
  <si>
    <t>$ Monthly payments for claims approved</t>
  </si>
  <si>
    <t>FY 09 Budget</t>
  </si>
  <si>
    <t>Passengers</t>
  </si>
  <si>
    <t>Miles</t>
  </si>
  <si>
    <t>Au</t>
  </si>
  <si>
    <t>S</t>
  </si>
  <si>
    <t>O</t>
  </si>
  <si>
    <t>N</t>
  </si>
  <si>
    <t>D</t>
  </si>
  <si>
    <t>Ja</t>
  </si>
  <si>
    <t>F</t>
  </si>
  <si>
    <t>Ap</t>
  </si>
  <si>
    <t>Mr</t>
  </si>
  <si>
    <t>My</t>
  </si>
  <si>
    <t>Jy</t>
  </si>
  <si>
    <t>Jn</t>
  </si>
  <si>
    <t>Total</t>
  </si>
  <si>
    <t>Total Projection</t>
  </si>
  <si>
    <t>Cost Per</t>
  </si>
  <si>
    <t>% Total utilization rate</t>
  </si>
  <si>
    <t>% Utilization per unit</t>
  </si>
  <si>
    <t>M-11</t>
  </si>
  <si>
    <t>M-12</t>
  </si>
  <si>
    <t>M-21</t>
  </si>
  <si>
    <t>M-31</t>
  </si>
  <si>
    <t>% Work First participation rate</t>
  </si>
  <si>
    <t># Non face-to-face contacts</t>
  </si>
  <si>
    <t xml:space="preserve">Library </t>
  </si>
  <si>
    <t>Population</t>
  </si>
  <si>
    <t>Visits</t>
  </si>
  <si>
    <t>Use</t>
  </si>
  <si>
    <t>Visits per capita</t>
  </si>
  <si>
    <t>Use per capita</t>
  </si>
  <si>
    <t>County $ per use</t>
  </si>
  <si>
    <t>$ Inc. assessed value - audit (millions)</t>
  </si>
  <si>
    <t>$ Inc. assessed value - discovery (millions)</t>
  </si>
  <si>
    <t># Voter registration changes</t>
  </si>
  <si>
    <t># New voter registrations</t>
  </si>
  <si>
    <t># Voter removals</t>
  </si>
  <si>
    <t xml:space="preserve"># Avg. officials per precinct </t>
  </si>
  <si>
    <t># Trained election officials</t>
  </si>
  <si>
    <t>% Work orders initial response w/in 5 days</t>
  </si>
  <si>
    <t># Avg. clients served per day</t>
  </si>
  <si>
    <t># Hours school age education</t>
  </si>
  <si>
    <t># Total (district) stand-by</t>
  </si>
  <si>
    <t># Total deeds of trust indexed</t>
  </si>
  <si>
    <t># Total deeds indexed</t>
  </si>
  <si>
    <t># Field work orders processed per day</t>
  </si>
  <si>
    <t xml:space="preserve">$ Recording fees </t>
  </si>
  <si>
    <t>Sheriff</t>
  </si>
  <si>
    <t>cases received</t>
  </si>
  <si>
    <t>Jan.</t>
  </si>
  <si>
    <t>closed w/arrest</t>
  </si>
  <si>
    <t>total</t>
  </si>
  <si>
    <t># Adult &amp; children program participants</t>
  </si>
  <si>
    <t># Individuals served by DSS monthly (duplicated count)</t>
  </si>
  <si>
    <t># Scholarship awards</t>
  </si>
  <si>
    <t># Subdivision plats revised</t>
  </si>
  <si>
    <t># Accounts maintained</t>
  </si>
  <si>
    <t xml:space="preserve">jail ALOS </t>
  </si>
  <si>
    <t xml:space="preserve">bed days equals ADP x number of days in month </t>
  </si>
  <si>
    <t>Bed days divided by admissions equals ALOS</t>
  </si>
  <si>
    <t>Avg. dispatch time - medic (min.)</t>
  </si>
  <si>
    <t>Avg. dispatch time - fire (min.)</t>
  </si>
  <si>
    <t># Measures taken for new addresses</t>
  </si>
  <si>
    <t># Deeds of trust indexed per day</t>
  </si>
  <si>
    <t># New signs made &amp; installed</t>
  </si>
  <si>
    <t># Replacement signs made &amp; installed</t>
  </si>
  <si>
    <t># Signs moved, fixed or reset</t>
  </si>
  <si>
    <t># Hours spent on other facilities maintenance issues</t>
  </si>
  <si>
    <t>% Pretrial inmates</t>
  </si>
  <si>
    <t>Pretrial Release Program</t>
  </si>
  <si>
    <t xml:space="preserve"># Assessed or interviewed </t>
  </si>
  <si>
    <t># Accepted into program</t>
  </si>
  <si>
    <t># Sucessfully terminated from program</t>
  </si>
  <si>
    <t># Total bed days avoided</t>
  </si>
  <si>
    <t xml:space="preserve"># Rearrested </t>
  </si>
  <si>
    <t># Failing to appear</t>
  </si>
  <si>
    <t>Assessment to sales ratio (real property)</t>
  </si>
  <si>
    <t># Hours spent at jail facility</t>
  </si>
  <si>
    <t>$ Transfer stamp fees</t>
  </si>
  <si>
    <t>Pretrial</t>
  </si>
  <si>
    <t>rearrested</t>
  </si>
  <si>
    <t>% Rearrested</t>
  </si>
  <si>
    <t># Home health total admissions</t>
  </si>
  <si>
    <t>$ NC debt set-off revenue</t>
  </si>
  <si>
    <t># Farmers inc. knowledge in sustainable agriculture</t>
  </si>
  <si>
    <t># Farmers adopting practices in sustainable ag</t>
  </si>
  <si>
    <t xml:space="preserve"># Participants inc. local food sales </t>
  </si>
  <si>
    <t># Participants inc. local food consumption</t>
  </si>
  <si>
    <t># Participants adopting safe food practices</t>
  </si>
  <si>
    <t># Participants inc. leadership skills</t>
  </si>
  <si>
    <t># Participants inc. life skills knowledge</t>
  </si>
  <si>
    <t># Participants adopting life skills</t>
  </si>
  <si>
    <t># Participants inc. knowledge in plant production</t>
  </si>
  <si>
    <t># Participants inc. knowledge in healthy food choices</t>
  </si>
  <si>
    <t># Work orders received</t>
  </si>
  <si>
    <t>$ In Rem foreclosures</t>
  </si>
  <si>
    <t>$ Escheat</t>
  </si>
  <si>
    <t>% Total levy collected</t>
  </si>
  <si>
    <t># Lost time worker's comp claims</t>
  </si>
  <si>
    <t># Total days lost time for worker's comp</t>
  </si>
  <si>
    <t>FY 101</t>
  </si>
  <si>
    <t>FY 102</t>
  </si>
  <si>
    <t>FY 103</t>
  </si>
  <si>
    <t>FY 104</t>
  </si>
  <si>
    <t>FY 105</t>
  </si>
  <si>
    <t>FY 106</t>
  </si>
  <si>
    <t>FY 107</t>
  </si>
  <si>
    <t>FY 108</t>
  </si>
  <si>
    <t>FY 109</t>
  </si>
  <si>
    <t>FY 1010</t>
  </si>
  <si>
    <t>FY 1011</t>
  </si>
  <si>
    <t>FY 1012</t>
  </si>
  <si>
    <t>FY 1013</t>
  </si>
  <si>
    <t># STD cases treated</t>
  </si>
  <si>
    <t>Central Permitting</t>
  </si>
  <si>
    <t># Phone calls received/made</t>
  </si>
  <si>
    <t># Calls received/made per staff hour</t>
  </si>
  <si>
    <t># Counter assistance provided</t>
  </si>
  <si>
    <t># Counter assistance provided per staff hour</t>
  </si>
  <si>
    <t># Code enforcement case hours</t>
  </si>
  <si>
    <t>Human Resources</t>
  </si>
  <si>
    <t>% Voluntary turnover rate</t>
  </si>
  <si>
    <t xml:space="preserve"># Hours LWOP utilized </t>
  </si>
  <si>
    <t># Hours sick leave utilized</t>
  </si>
  <si>
    <t xml:space="preserve"># Total terminations </t>
  </si>
  <si>
    <t># Voluntary terminations</t>
  </si>
  <si>
    <t># Active enforced collections</t>
  </si>
  <si>
    <t># Enforced collections executed</t>
  </si>
  <si>
    <t># EMS Garnishments</t>
  </si>
  <si>
    <t># Quality assurance visits</t>
  </si>
  <si>
    <t># Federal applications received</t>
  </si>
  <si>
    <t># Clients assisted</t>
  </si>
  <si>
    <t># Conservation plans written</t>
  </si>
  <si>
    <t># Contracts written</t>
  </si>
  <si>
    <t># Practices installed</t>
  </si>
  <si>
    <t>HR</t>
  </si>
  <si>
    <t>Voluntary Term</t>
  </si>
  <si>
    <t>Employees = 430</t>
  </si>
  <si>
    <t>% Vol. Turnover Rate</t>
  </si>
  <si>
    <t>average</t>
  </si>
  <si>
    <t>% Overall turnover rate</t>
  </si>
  <si>
    <t>Total Term</t>
  </si>
  <si>
    <t>% Total Turnover Rate</t>
  </si>
  <si>
    <t># Un-rentable days due to rehersals</t>
  </si>
  <si>
    <t># Tons of soil saved</t>
  </si>
  <si>
    <t xml:space="preserve"># Avg. clients served per day at Senior Center </t>
  </si>
  <si>
    <t>Released</t>
  </si>
  <si>
    <t>Target</t>
  </si>
  <si>
    <t>% of Target</t>
  </si>
  <si>
    <t>Ag Center</t>
  </si>
  <si>
    <t>FY 11-12 results below</t>
  </si>
  <si>
    <t>Measure</t>
  </si>
  <si>
    <t>Elections</t>
  </si>
  <si>
    <t>Cooperative Ext.</t>
  </si>
  <si>
    <t># Museum visitors (duplicate count)</t>
  </si>
  <si>
    <t># Historic preservation research requests</t>
  </si>
  <si>
    <t># Museum general public tours</t>
  </si>
  <si>
    <t># Museum school based tours</t>
  </si>
  <si>
    <t>Emergency Mgt.</t>
  </si>
  <si>
    <t>Environmental Hlt</t>
  </si>
  <si>
    <t>Health</t>
  </si>
  <si>
    <t>Pretrial Release</t>
  </si>
  <si>
    <t>Planning</t>
  </si>
  <si>
    <t>Veterans</t>
  </si>
  <si>
    <t>$ Total health claims</t>
  </si>
  <si>
    <t># Contacts per business day</t>
  </si>
  <si>
    <t># Terminated/exits from program</t>
  </si>
  <si>
    <t>% Treated water loss</t>
  </si>
  <si>
    <t># Total VA clients served (duplicate count)</t>
  </si>
  <si>
    <t># Clients served by phone correspondence</t>
  </si>
  <si>
    <t>FY 10-11 results below</t>
  </si>
  <si>
    <t>Target information for FY 11-12 (blended FY 09-10 and FY 10-11 data results)</t>
  </si>
  <si>
    <t>Target information for FY 12-13 (blended FY 10-11 and FY 11-12 data results)</t>
  </si>
  <si>
    <t># Rabies testing cases</t>
  </si>
  <si>
    <t xml:space="preserve"># Avg. individuals served per day </t>
  </si>
  <si>
    <t># Cumulative gallons of water purchased (millions)</t>
  </si>
  <si>
    <t># Cumulative gallons sold (millions)</t>
  </si>
  <si>
    <t># Active beginning of month</t>
  </si>
  <si>
    <t># Active end of the month</t>
  </si>
  <si>
    <t>FY 12-13 results below</t>
  </si>
  <si>
    <t>Target information for FY 13-14 (blended FY 10-11, FY 11-12 and FY 12-13 data results)</t>
  </si>
  <si>
    <t>$ Hangar revenue</t>
  </si>
  <si>
    <t>$ Tie down revenue</t>
  </si>
  <si>
    <t>$ Total revenue from leased office space</t>
  </si>
  <si>
    <t># Zoning inspections completed</t>
  </si>
  <si>
    <t># New active leads</t>
  </si>
  <si>
    <t># New suspect leads</t>
  </si>
  <si>
    <t># Site visits</t>
  </si>
  <si>
    <t xml:space="preserve">Economic Development </t>
  </si>
  <si>
    <t># Meetings w/prospective business or consultant</t>
  </si>
  <si>
    <t># Meetings with existing industry/business</t>
  </si>
  <si>
    <t>Economic Development (EDC)</t>
  </si>
  <si>
    <t>Planning &amp; Zoning</t>
  </si>
  <si>
    <t># Projects announced</t>
  </si>
  <si>
    <t># Jobs associated w/announced projects</t>
  </si>
  <si>
    <t>M-32</t>
  </si>
  <si>
    <t>M41/M4</t>
  </si>
  <si>
    <t>% 911 calls answered in 10 seconds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</si>
</sst>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0.0%"/>
    <numFmt numFmtId="166" formatCode="0.0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20"/>
      <name val="Times New Roman"/>
      <family val="1"/>
    </font>
    <font>
      <sz val="8"/>
      <name val="Arial"/>
    </font>
    <font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rgb="FF00B050"/>
      <name val="Times New Roman"/>
      <family val="1"/>
    </font>
    <font>
      <sz val="8"/>
      <color rgb="FF0000FF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1" fillId="5" borderId="0" xfId="0" applyFont="1" applyFill="1"/>
    <xf numFmtId="0" fontId="2" fillId="0" borderId="0" xfId="0" applyFont="1" applyFill="1" applyAlignment="1">
      <alignment vertical="top"/>
    </xf>
    <xf numFmtId="0" fontId="13" fillId="5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0" fontId="1" fillId="5" borderId="0" xfId="0" applyFont="1" applyFill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2" fillId="4" borderId="6" xfId="0" applyFont="1" applyFill="1" applyBorder="1" applyAlignment="1" applyProtection="1">
      <alignment vertical="top"/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5" borderId="7" xfId="0" applyFont="1" applyFill="1" applyBorder="1" applyAlignment="1">
      <alignment horizontal="center" vertical="top"/>
    </xf>
    <xf numFmtId="0" fontId="3" fillId="3" borderId="0" xfId="0" applyNumberFormat="1" applyFont="1" applyFill="1" applyBorder="1" applyAlignment="1" applyProtection="1">
      <alignment horizontal="center" vertical="top"/>
      <protection locked="0"/>
    </xf>
    <xf numFmtId="0" fontId="3" fillId="3" borderId="9" xfId="0" applyNumberFormat="1" applyFont="1" applyFill="1" applyBorder="1" applyAlignment="1" applyProtection="1">
      <alignment horizontal="center" vertical="top"/>
      <protection locked="0"/>
    </xf>
    <xf numFmtId="0" fontId="17" fillId="3" borderId="10" xfId="0" applyFont="1" applyFill="1" applyBorder="1" applyAlignment="1">
      <alignment vertical="top"/>
    </xf>
    <xf numFmtId="0" fontId="17" fillId="3" borderId="0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4" fillId="0" borderId="0" xfId="0" applyFont="1" applyFill="1" applyBorder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Border="1"/>
    <xf numFmtId="3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0" fontId="0" fillId="0" borderId="0" xfId="0" applyFont="1" applyAlignment="1">
      <alignment horizontal="center"/>
    </xf>
    <xf numFmtId="0" fontId="20" fillId="0" borderId="0" xfId="0" applyFont="1" applyFill="1" applyBorder="1"/>
    <xf numFmtId="0" fontId="2" fillId="6" borderId="0" xfId="0" applyFont="1" applyFill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16" fillId="7" borderId="7" xfId="0" applyFont="1" applyFill="1" applyBorder="1" applyAlignment="1">
      <alignment horizontal="center" vertical="top"/>
    </xf>
    <xf numFmtId="0" fontId="16" fillId="7" borderId="8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/>
    </xf>
    <xf numFmtId="9" fontId="3" fillId="6" borderId="11" xfId="0" applyNumberFormat="1" applyFont="1" applyFill="1" applyBorder="1" applyAlignment="1">
      <alignment horizontal="center" vertical="top"/>
    </xf>
    <xf numFmtId="9" fontId="3" fillId="6" borderId="12" xfId="0" applyNumberFormat="1" applyFont="1" applyFill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/>
    <xf numFmtId="0" fontId="14" fillId="0" borderId="5" xfId="0" applyFont="1" applyBorder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left"/>
    </xf>
    <xf numFmtId="0" fontId="0" fillId="9" borderId="0" xfId="0" applyFill="1"/>
    <xf numFmtId="165" fontId="0" fillId="0" borderId="0" xfId="0" applyNumberFormat="1" applyAlignment="1">
      <alignment horizontal="center"/>
    </xf>
    <xf numFmtId="0" fontId="22" fillId="8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17" fillId="0" borderId="0" xfId="0" applyFont="1"/>
    <xf numFmtId="0" fontId="14" fillId="0" borderId="0" xfId="0" applyFont="1"/>
    <xf numFmtId="3" fontId="0" fillId="7" borderId="0" xfId="0" applyNumberFormat="1" applyFill="1"/>
    <xf numFmtId="0" fontId="15" fillId="0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8" borderId="0" xfId="0" applyFill="1"/>
    <xf numFmtId="0" fontId="19" fillId="0" borderId="0" xfId="0" applyFont="1"/>
    <xf numFmtId="0" fontId="15" fillId="8" borderId="0" xfId="0" applyFont="1" applyFill="1"/>
    <xf numFmtId="0" fontId="0" fillId="8" borderId="0" xfId="0" applyFill="1" applyAlignment="1">
      <alignment horizontal="center"/>
    </xf>
    <xf numFmtId="44" fontId="2" fillId="3" borderId="0" xfId="1" applyFont="1" applyFill="1" applyAlignment="1">
      <alignment vertical="top"/>
    </xf>
    <xf numFmtId="0" fontId="3" fillId="3" borderId="10" xfId="0" applyNumberFormat="1" applyFont="1" applyFill="1" applyBorder="1" applyAlignment="1">
      <alignment vertical="top"/>
    </xf>
    <xf numFmtId="0" fontId="3" fillId="3" borderId="0" xfId="0" applyNumberFormat="1" applyFont="1" applyFill="1" applyBorder="1" applyAlignment="1">
      <alignment vertical="top"/>
    </xf>
    <xf numFmtId="0" fontId="3" fillId="3" borderId="13" xfId="0" applyNumberFormat="1" applyFont="1" applyFill="1" applyBorder="1" applyAlignment="1">
      <alignment vertical="top"/>
    </xf>
    <xf numFmtId="0" fontId="3" fillId="3" borderId="9" xfId="0" applyNumberFormat="1" applyFont="1" applyFill="1" applyBorder="1" applyAlignment="1">
      <alignment vertical="top"/>
    </xf>
    <xf numFmtId="0" fontId="6" fillId="5" borderId="0" xfId="0" applyFont="1" applyFill="1" applyAlignment="1">
      <alignment horizontal="center" vertical="top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B050"/>
      <color rgb="FF0000FF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9525</xdr:rowOff>
    </xdr:from>
    <xdr:to>
      <xdr:col>16</xdr:col>
      <xdr:colOff>695325</xdr:colOff>
      <xdr:row>1</xdr:row>
      <xdr:rowOff>228600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8375" y="95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I37" sqref="I37"/>
    </sheetView>
  </sheetViews>
  <sheetFormatPr defaultRowHeight="12.75" x14ac:dyDescent="0.2"/>
  <cols>
    <col min="1" max="1" width="5.5703125" customWidth="1"/>
    <col min="2" max="2" width="24.42578125" customWidth="1"/>
    <col min="3" max="3" width="9" customWidth="1"/>
  </cols>
  <sheetData>
    <row r="1" spans="1:15" x14ac:dyDescent="0.2">
      <c r="A1" s="10" t="s">
        <v>3</v>
      </c>
      <c r="B1" s="10" t="s">
        <v>1</v>
      </c>
      <c r="C1" s="15" t="s">
        <v>20</v>
      </c>
      <c r="D1" s="15" t="s">
        <v>21</v>
      </c>
      <c r="E1" s="15" t="s">
        <v>22</v>
      </c>
      <c r="F1" s="15" t="s">
        <v>23</v>
      </c>
      <c r="G1" s="15" t="s">
        <v>24</v>
      </c>
      <c r="H1" s="15" t="s">
        <v>230</v>
      </c>
      <c r="I1" s="15" t="s">
        <v>231</v>
      </c>
      <c r="J1" s="15" t="s">
        <v>232</v>
      </c>
      <c r="K1" s="15" t="s">
        <v>233</v>
      </c>
      <c r="L1" s="15" t="s">
        <v>234</v>
      </c>
      <c r="M1" s="15" t="s">
        <v>282</v>
      </c>
      <c r="N1" s="15" t="s">
        <v>283</v>
      </c>
      <c r="O1" s="15" t="s">
        <v>284</v>
      </c>
    </row>
    <row r="2" spans="1:15" s="23" customFormat="1" x14ac:dyDescent="0.2">
      <c r="A2" s="17">
        <v>1</v>
      </c>
      <c r="B2" s="38" t="s">
        <v>229</v>
      </c>
      <c r="C2" s="74" t="s">
        <v>244</v>
      </c>
      <c r="D2" s="75" t="s">
        <v>250</v>
      </c>
      <c r="E2" s="63" t="s">
        <v>251</v>
      </c>
      <c r="F2" s="75" t="s">
        <v>245</v>
      </c>
      <c r="G2" s="75" t="s">
        <v>498</v>
      </c>
      <c r="H2" s="63"/>
      <c r="I2" s="63"/>
      <c r="J2" s="63"/>
      <c r="K2" s="63"/>
      <c r="L2" s="63"/>
      <c r="M2" s="63"/>
    </row>
    <row r="3" spans="1:15" x14ac:dyDescent="0.2">
      <c r="A3" s="16">
        <v>2</v>
      </c>
      <c r="B3" s="39" t="s">
        <v>4</v>
      </c>
      <c r="C3" s="63" t="s">
        <v>252</v>
      </c>
      <c r="D3" s="63" t="s">
        <v>255</v>
      </c>
      <c r="E3" s="63" t="s">
        <v>256</v>
      </c>
      <c r="F3" s="63" t="s">
        <v>253</v>
      </c>
      <c r="G3" s="63" t="s">
        <v>536</v>
      </c>
      <c r="H3" s="63" t="s">
        <v>254</v>
      </c>
      <c r="I3" s="63" t="s">
        <v>537</v>
      </c>
      <c r="J3" s="63" t="s">
        <v>538</v>
      </c>
      <c r="K3" s="63"/>
      <c r="L3" s="63"/>
      <c r="M3" s="63"/>
    </row>
    <row r="4" spans="1:15" x14ac:dyDescent="0.2">
      <c r="A4" s="16">
        <v>3</v>
      </c>
      <c r="B4" s="53" t="s">
        <v>243</v>
      </c>
      <c r="C4" s="76" t="s">
        <v>77</v>
      </c>
      <c r="D4" s="76" t="s">
        <v>520</v>
      </c>
      <c r="E4" s="76" t="s">
        <v>76</v>
      </c>
      <c r="F4" s="63" t="s">
        <v>285</v>
      </c>
      <c r="G4" s="77" t="s">
        <v>528</v>
      </c>
      <c r="H4" s="77" t="s">
        <v>340</v>
      </c>
      <c r="J4" s="63"/>
      <c r="K4" s="63"/>
      <c r="L4" s="63"/>
      <c r="M4" s="63"/>
    </row>
    <row r="5" spans="1:15" x14ac:dyDescent="0.2">
      <c r="A5" s="16">
        <f>SUM(A4+1)</f>
        <v>4</v>
      </c>
      <c r="B5" s="40" t="s">
        <v>5</v>
      </c>
      <c r="C5" s="76" t="s">
        <v>25</v>
      </c>
      <c r="D5" s="76" t="s">
        <v>389</v>
      </c>
      <c r="E5" s="76" t="s">
        <v>390</v>
      </c>
      <c r="F5" s="76" t="s">
        <v>391</v>
      </c>
      <c r="G5" s="76" t="s">
        <v>26</v>
      </c>
      <c r="H5" s="76" t="s">
        <v>51</v>
      </c>
      <c r="I5" s="76" t="s">
        <v>392</v>
      </c>
      <c r="J5" s="76" t="s">
        <v>393</v>
      </c>
      <c r="K5" s="76"/>
      <c r="L5" s="76"/>
      <c r="M5" s="63"/>
    </row>
    <row r="6" spans="1:15" x14ac:dyDescent="0.2">
      <c r="A6" s="16">
        <v>5</v>
      </c>
      <c r="B6" s="40" t="s">
        <v>469</v>
      </c>
      <c r="C6" s="63" t="s">
        <v>470</v>
      </c>
      <c r="D6" s="63" t="s">
        <v>471</v>
      </c>
      <c r="E6" s="76" t="s">
        <v>472</v>
      </c>
      <c r="F6" s="77" t="s">
        <v>473</v>
      </c>
      <c r="G6" s="77" t="s">
        <v>474</v>
      </c>
      <c r="H6" s="63"/>
      <c r="I6" s="63"/>
      <c r="J6" s="76"/>
      <c r="K6" s="76"/>
      <c r="L6" s="76"/>
      <c r="M6" s="63"/>
    </row>
    <row r="7" spans="1:15" x14ac:dyDescent="0.2">
      <c r="A7" s="16">
        <v>6</v>
      </c>
      <c r="B7" s="42" t="s">
        <v>6</v>
      </c>
      <c r="C7" s="63" t="s">
        <v>439</v>
      </c>
      <c r="D7" s="63" t="s">
        <v>440</v>
      </c>
      <c r="E7" s="63" t="s">
        <v>441</v>
      </c>
      <c r="F7" s="63" t="s">
        <v>442</v>
      </c>
      <c r="G7" s="63" t="s">
        <v>443</v>
      </c>
      <c r="H7" s="63" t="s">
        <v>444</v>
      </c>
      <c r="I7" s="63" t="s">
        <v>445</v>
      </c>
      <c r="J7" s="63" t="s">
        <v>446</v>
      </c>
      <c r="K7" s="63" t="s">
        <v>447</v>
      </c>
      <c r="L7" s="63" t="s">
        <v>448</v>
      </c>
      <c r="M7" s="63" t="s">
        <v>379</v>
      </c>
    </row>
    <row r="8" spans="1:15" x14ac:dyDescent="0.2">
      <c r="A8" s="16">
        <v>7</v>
      </c>
      <c r="B8" s="40" t="s">
        <v>242</v>
      </c>
      <c r="C8" s="76" t="s">
        <v>28</v>
      </c>
      <c r="D8" s="76" t="s">
        <v>261</v>
      </c>
      <c r="E8" s="76" t="s">
        <v>262</v>
      </c>
      <c r="F8" s="77" t="s">
        <v>197</v>
      </c>
      <c r="G8" s="77" t="s">
        <v>263</v>
      </c>
      <c r="H8" s="77" t="s">
        <v>453</v>
      </c>
      <c r="I8" s="77" t="s">
        <v>454</v>
      </c>
      <c r="J8" s="63"/>
      <c r="K8" s="63"/>
      <c r="L8" s="63"/>
      <c r="M8" s="63"/>
    </row>
    <row r="9" spans="1:15" x14ac:dyDescent="0.2">
      <c r="A9" s="16">
        <v>8</v>
      </c>
      <c r="B9" s="42" t="s">
        <v>27</v>
      </c>
      <c r="C9" s="76" t="s">
        <v>34</v>
      </c>
      <c r="D9" s="76" t="s">
        <v>67</v>
      </c>
      <c r="E9" s="76" t="s">
        <v>130</v>
      </c>
      <c r="F9" s="76" t="s">
        <v>68</v>
      </c>
      <c r="G9" s="76" t="s">
        <v>397</v>
      </c>
      <c r="H9" s="77" t="s">
        <v>372</v>
      </c>
      <c r="I9" s="77" t="s">
        <v>373</v>
      </c>
      <c r="J9" s="77" t="s">
        <v>374</v>
      </c>
      <c r="K9" s="77" t="s">
        <v>375</v>
      </c>
      <c r="L9" s="77" t="s">
        <v>376</v>
      </c>
      <c r="M9" s="77" t="s">
        <v>377</v>
      </c>
      <c r="N9" s="19" t="s">
        <v>550</v>
      </c>
      <c r="O9" s="19" t="s">
        <v>551</v>
      </c>
    </row>
    <row r="10" spans="1:15" x14ac:dyDescent="0.2">
      <c r="A10" s="16">
        <f t="shared" ref="A10:A32" si="0">SUM(A9+1)</f>
        <v>9</v>
      </c>
      <c r="B10" s="43" t="s">
        <v>75</v>
      </c>
      <c r="C10" s="76" t="s">
        <v>484</v>
      </c>
      <c r="D10" s="76" t="s">
        <v>286</v>
      </c>
      <c r="E10" s="77" t="s">
        <v>287</v>
      </c>
      <c r="F10" s="77" t="s">
        <v>288</v>
      </c>
      <c r="G10" s="77" t="s">
        <v>289</v>
      </c>
      <c r="H10" s="77" t="s">
        <v>290</v>
      </c>
      <c r="I10" s="77" t="s">
        <v>291</v>
      </c>
      <c r="J10" s="77" t="s">
        <v>292</v>
      </c>
      <c r="K10" s="77" t="s">
        <v>293</v>
      </c>
      <c r="L10" s="77" t="s">
        <v>294</v>
      </c>
      <c r="M10" s="63"/>
    </row>
    <row r="11" spans="1:15" x14ac:dyDescent="0.2">
      <c r="A11" s="16">
        <f t="shared" si="0"/>
        <v>10</v>
      </c>
      <c r="B11" s="39" t="s">
        <v>235</v>
      </c>
      <c r="C11" s="63" t="s">
        <v>50</v>
      </c>
      <c r="D11" s="63" t="s">
        <v>107</v>
      </c>
      <c r="E11" s="77" t="s">
        <v>269</v>
      </c>
      <c r="F11" s="77" t="s">
        <v>432</v>
      </c>
      <c r="G11" s="63"/>
      <c r="H11" s="63"/>
      <c r="I11" s="63"/>
      <c r="J11" s="63"/>
      <c r="K11" s="63"/>
      <c r="L11" s="63"/>
      <c r="M11" s="63"/>
    </row>
    <row r="12" spans="1:15" x14ac:dyDescent="0.2">
      <c r="A12" s="16">
        <f t="shared" si="0"/>
        <v>11</v>
      </c>
      <c r="B12" s="40" t="s">
        <v>7</v>
      </c>
      <c r="C12" s="76" t="s">
        <v>331</v>
      </c>
      <c r="D12" s="76" t="s">
        <v>332</v>
      </c>
      <c r="E12" s="76" t="s">
        <v>78</v>
      </c>
      <c r="F12" s="77" t="s">
        <v>54</v>
      </c>
      <c r="G12" s="76" t="s">
        <v>468</v>
      </c>
      <c r="H12" s="76" t="s">
        <v>333</v>
      </c>
      <c r="I12" s="76" t="s">
        <v>334</v>
      </c>
      <c r="J12" s="76" t="s">
        <v>335</v>
      </c>
      <c r="K12" s="63" t="s">
        <v>336</v>
      </c>
      <c r="L12" s="63" t="s">
        <v>337</v>
      </c>
      <c r="M12" s="63" t="s">
        <v>338</v>
      </c>
      <c r="N12" s="23" t="s">
        <v>437</v>
      </c>
      <c r="O12" s="23" t="s">
        <v>339</v>
      </c>
    </row>
    <row r="13" spans="1:15" x14ac:dyDescent="0.2">
      <c r="A13" s="16">
        <v>12</v>
      </c>
      <c r="B13" s="40" t="s">
        <v>475</v>
      </c>
      <c r="C13" s="63" t="s">
        <v>479</v>
      </c>
      <c r="D13" s="63" t="s">
        <v>495</v>
      </c>
      <c r="E13" s="63" t="s">
        <v>480</v>
      </c>
      <c r="F13" s="76" t="s">
        <v>476</v>
      </c>
      <c r="G13" s="77" t="s">
        <v>477</v>
      </c>
      <c r="H13" s="77" t="s">
        <v>478</v>
      </c>
      <c r="I13" s="77" t="s">
        <v>519</v>
      </c>
      <c r="J13" s="63"/>
      <c r="K13" s="63"/>
      <c r="L13" s="63"/>
      <c r="M13" s="63"/>
      <c r="N13" s="23"/>
      <c r="O13" s="23"/>
    </row>
    <row r="14" spans="1:15" x14ac:dyDescent="0.2">
      <c r="A14" s="16">
        <v>13</v>
      </c>
      <c r="B14" s="40" t="s">
        <v>236</v>
      </c>
      <c r="C14" s="63" t="s">
        <v>79</v>
      </c>
      <c r="D14" s="63" t="s">
        <v>80</v>
      </c>
      <c r="E14" s="63" t="s">
        <v>81</v>
      </c>
      <c r="F14" s="63" t="s">
        <v>82</v>
      </c>
      <c r="G14" s="63" t="s">
        <v>83</v>
      </c>
      <c r="H14" s="63" t="s">
        <v>539</v>
      </c>
      <c r="I14" s="63" t="s">
        <v>84</v>
      </c>
      <c r="J14" s="63" t="s">
        <v>85</v>
      </c>
      <c r="K14" s="63" t="s">
        <v>347</v>
      </c>
      <c r="L14" s="63" t="s">
        <v>86</v>
      </c>
      <c r="M14" s="63" t="s">
        <v>246</v>
      </c>
    </row>
    <row r="15" spans="1:15" x14ac:dyDescent="0.2">
      <c r="A15" s="16">
        <f t="shared" si="0"/>
        <v>14</v>
      </c>
      <c r="B15" s="39" t="s">
        <v>238</v>
      </c>
      <c r="C15" s="76" t="s">
        <v>71</v>
      </c>
      <c r="D15" s="76" t="s">
        <v>72</v>
      </c>
      <c r="E15" s="76" t="s">
        <v>280</v>
      </c>
      <c r="F15" s="76" t="s">
        <v>281</v>
      </c>
      <c r="G15" s="76" t="s">
        <v>394</v>
      </c>
      <c r="H15" s="76" t="s">
        <v>449</v>
      </c>
      <c r="I15" s="76"/>
      <c r="J15" s="63"/>
      <c r="K15" s="63"/>
      <c r="L15" s="63"/>
      <c r="M15" s="63"/>
    </row>
    <row r="16" spans="1:15" x14ac:dyDescent="0.2">
      <c r="A16" s="16">
        <f t="shared" si="0"/>
        <v>15</v>
      </c>
      <c r="B16" s="40" t="s">
        <v>8</v>
      </c>
      <c r="C16" s="76" t="s">
        <v>41</v>
      </c>
      <c r="D16" s="76" t="s">
        <v>42</v>
      </c>
      <c r="E16" s="76" t="s">
        <v>29</v>
      </c>
      <c r="F16" s="76" t="s">
        <v>92</v>
      </c>
      <c r="G16" s="76" t="s">
        <v>30</v>
      </c>
      <c r="H16" s="76" t="s">
        <v>423</v>
      </c>
      <c r="I16" s="76"/>
      <c r="J16" s="63"/>
      <c r="K16" s="63"/>
      <c r="L16" s="63"/>
      <c r="M16" s="63"/>
    </row>
    <row r="17" spans="1:17" x14ac:dyDescent="0.2">
      <c r="A17" s="16">
        <f t="shared" si="0"/>
        <v>16</v>
      </c>
      <c r="B17" s="39" t="s">
        <v>9</v>
      </c>
      <c r="C17" s="76" t="s">
        <v>247</v>
      </c>
      <c r="D17" s="76" t="s">
        <v>55</v>
      </c>
      <c r="E17" s="76" t="s">
        <v>407</v>
      </c>
      <c r="F17" s="76" t="s">
        <v>56</v>
      </c>
      <c r="G17" s="76" t="s">
        <v>57</v>
      </c>
      <c r="H17" s="76" t="s">
        <v>270</v>
      </c>
      <c r="I17" s="76" t="s">
        <v>271</v>
      </c>
      <c r="J17" s="76" t="s">
        <v>272</v>
      </c>
      <c r="K17" s="76" t="s">
        <v>273</v>
      </c>
      <c r="L17" s="76" t="s">
        <v>509</v>
      </c>
      <c r="M17" s="76" t="s">
        <v>510</v>
      </c>
      <c r="N17" s="18" t="s">
        <v>511</v>
      </c>
      <c r="O17" s="18" t="s">
        <v>512</v>
      </c>
    </row>
    <row r="18" spans="1:17" x14ac:dyDescent="0.2">
      <c r="A18" s="16">
        <v>17</v>
      </c>
      <c r="B18" s="39" t="s">
        <v>424</v>
      </c>
      <c r="C18" s="76" t="s">
        <v>425</v>
      </c>
      <c r="D18" s="76" t="s">
        <v>426</v>
      </c>
      <c r="E18" s="77" t="s">
        <v>521</v>
      </c>
      <c r="F18" s="77" t="s">
        <v>427</v>
      </c>
      <c r="G18" s="77" t="s">
        <v>429</v>
      </c>
      <c r="H18" s="77" t="s">
        <v>436</v>
      </c>
      <c r="I18" s="77" t="s">
        <v>430</v>
      </c>
      <c r="J18" s="77" t="s">
        <v>428</v>
      </c>
      <c r="K18" s="76" t="s">
        <v>532</v>
      </c>
      <c r="L18" s="63" t="s">
        <v>533</v>
      </c>
      <c r="M18" s="63"/>
    </row>
    <row r="19" spans="1:17" x14ac:dyDescent="0.2">
      <c r="A19" s="16">
        <v>18</v>
      </c>
      <c r="B19" s="40" t="s">
        <v>547</v>
      </c>
      <c r="C19" s="76" t="s">
        <v>131</v>
      </c>
      <c r="D19" s="76" t="s">
        <v>132</v>
      </c>
      <c r="E19" s="76" t="s">
        <v>410</v>
      </c>
      <c r="F19" s="76" t="s">
        <v>257</v>
      </c>
      <c r="G19" s="76" t="s">
        <v>133</v>
      </c>
      <c r="H19" s="76" t="s">
        <v>134</v>
      </c>
      <c r="I19" s="76" t="s">
        <v>248</v>
      </c>
      <c r="J19" s="76" t="s">
        <v>249</v>
      </c>
      <c r="K19" s="76" t="s">
        <v>258</v>
      </c>
      <c r="L19" s="76" t="s">
        <v>259</v>
      </c>
      <c r="M19" s="76" t="s">
        <v>417</v>
      </c>
    </row>
    <row r="20" spans="1:17" x14ac:dyDescent="0.2">
      <c r="A20" s="16">
        <v>19</v>
      </c>
      <c r="B20" s="40" t="s">
        <v>10</v>
      </c>
      <c r="C20" s="76" t="s">
        <v>398</v>
      </c>
      <c r="D20" s="76" t="s">
        <v>399</v>
      </c>
      <c r="E20" s="76" t="s">
        <v>58</v>
      </c>
      <c r="F20" s="76" t="s">
        <v>59</v>
      </c>
      <c r="G20" s="77" t="s">
        <v>418</v>
      </c>
      <c r="H20" s="77" t="s">
        <v>401</v>
      </c>
      <c r="I20" s="77" t="s">
        <v>433</v>
      </c>
      <c r="J20" s="63"/>
      <c r="K20" s="63"/>
      <c r="L20" s="63"/>
      <c r="M20" s="63"/>
    </row>
    <row r="21" spans="1:17" x14ac:dyDescent="0.2">
      <c r="A21" s="16">
        <v>20</v>
      </c>
      <c r="B21" s="42" t="s">
        <v>66</v>
      </c>
      <c r="C21" s="76" t="s">
        <v>419</v>
      </c>
      <c r="D21" s="76" t="s">
        <v>420</v>
      </c>
      <c r="E21" s="77" t="s">
        <v>421</v>
      </c>
      <c r="F21" s="77" t="s">
        <v>422</v>
      </c>
      <c r="G21" s="77"/>
      <c r="H21" s="77"/>
      <c r="I21" s="77"/>
      <c r="J21" s="77"/>
      <c r="K21" s="63"/>
      <c r="L21" s="63"/>
      <c r="M21" s="63"/>
    </row>
    <row r="22" spans="1:17" x14ac:dyDescent="0.2">
      <c r="A22" s="16">
        <v>21</v>
      </c>
      <c r="B22" s="40" t="s">
        <v>241</v>
      </c>
      <c r="C22" s="76" t="s">
        <v>44</v>
      </c>
      <c r="D22" s="76" t="s">
        <v>45</v>
      </c>
      <c r="E22" s="76" t="s">
        <v>48</v>
      </c>
      <c r="F22" s="76" t="s">
        <v>46</v>
      </c>
      <c r="G22" s="76" t="s">
        <v>47</v>
      </c>
      <c r="H22" s="77" t="s">
        <v>90</v>
      </c>
      <c r="I22" s="77" t="s">
        <v>91</v>
      </c>
      <c r="J22" s="63"/>
      <c r="K22" s="63"/>
      <c r="L22" s="63"/>
      <c r="M22" s="63"/>
    </row>
    <row r="23" spans="1:17" x14ac:dyDescent="0.2">
      <c r="A23" s="16">
        <f t="shared" si="0"/>
        <v>22</v>
      </c>
      <c r="B23" s="40" t="s">
        <v>11</v>
      </c>
      <c r="C23" s="76" t="s">
        <v>34</v>
      </c>
      <c r="D23" s="76" t="s">
        <v>346</v>
      </c>
      <c r="E23" s="76" t="s">
        <v>344</v>
      </c>
      <c r="F23" s="76" t="s">
        <v>345</v>
      </c>
      <c r="G23" s="76" t="s">
        <v>341</v>
      </c>
      <c r="H23" s="76" t="s">
        <v>343</v>
      </c>
      <c r="I23" s="76" t="s">
        <v>87</v>
      </c>
      <c r="J23" s="76" t="s">
        <v>88</v>
      </c>
      <c r="K23" s="76" t="s">
        <v>89</v>
      </c>
      <c r="L23" s="76" t="s">
        <v>106</v>
      </c>
      <c r="M23" s="63"/>
    </row>
    <row r="24" spans="1:17" x14ac:dyDescent="0.2">
      <c r="A24" s="16">
        <f t="shared" si="0"/>
        <v>23</v>
      </c>
      <c r="B24" s="40" t="s">
        <v>237</v>
      </c>
      <c r="C24" s="63" t="s">
        <v>266</v>
      </c>
      <c r="D24" s="63" t="s">
        <v>264</v>
      </c>
      <c r="E24" s="63" t="s">
        <v>265</v>
      </c>
      <c r="F24" s="76" t="s">
        <v>267</v>
      </c>
      <c r="G24" s="77" t="s">
        <v>52</v>
      </c>
      <c r="H24" s="77" t="s">
        <v>268</v>
      </c>
      <c r="I24" s="77" t="s">
        <v>500</v>
      </c>
      <c r="J24" s="63"/>
      <c r="K24" s="63"/>
      <c r="L24" s="63"/>
      <c r="M24" s="63"/>
    </row>
    <row r="25" spans="1:17" x14ac:dyDescent="0.2">
      <c r="A25" s="16">
        <f t="shared" si="0"/>
        <v>24</v>
      </c>
      <c r="B25" s="40" t="s">
        <v>12</v>
      </c>
      <c r="C25" s="76" t="s">
        <v>278</v>
      </c>
      <c r="D25" s="76" t="s">
        <v>279</v>
      </c>
      <c r="E25" s="76" t="s">
        <v>53</v>
      </c>
      <c r="F25" s="76" t="s">
        <v>378</v>
      </c>
      <c r="G25" s="76" t="s">
        <v>408</v>
      </c>
      <c r="H25" s="76" t="s">
        <v>529</v>
      </c>
      <c r="I25" s="76" t="s">
        <v>63</v>
      </c>
      <c r="J25" s="76" t="s">
        <v>60</v>
      </c>
      <c r="K25" s="76" t="s">
        <v>61</v>
      </c>
      <c r="L25" s="76" t="s">
        <v>62</v>
      </c>
      <c r="M25" s="76" t="s">
        <v>73</v>
      </c>
    </row>
    <row r="26" spans="1:17" x14ac:dyDescent="0.2">
      <c r="A26" s="16">
        <f t="shared" si="0"/>
        <v>25</v>
      </c>
      <c r="B26" s="42" t="s">
        <v>13</v>
      </c>
      <c r="C26" s="76" t="s">
        <v>49</v>
      </c>
      <c r="D26" s="76" t="s">
        <v>485</v>
      </c>
      <c r="E26" s="76" t="s">
        <v>486</v>
      </c>
      <c r="F26" s="76" t="s">
        <v>487</v>
      </c>
      <c r="G26" s="76" t="s">
        <v>349</v>
      </c>
      <c r="H26" s="76" t="s">
        <v>348</v>
      </c>
      <c r="I26" s="76" t="s">
        <v>396</v>
      </c>
      <c r="J26" s="76" t="s">
        <v>488</v>
      </c>
      <c r="K26" s="76" t="s">
        <v>489</v>
      </c>
      <c r="L26" s="76" t="s">
        <v>499</v>
      </c>
      <c r="M26" s="63"/>
    </row>
    <row r="27" spans="1:17" x14ac:dyDescent="0.2">
      <c r="A27" s="16">
        <f t="shared" si="0"/>
        <v>26</v>
      </c>
      <c r="B27" s="40" t="s">
        <v>14</v>
      </c>
      <c r="C27" s="76" t="s">
        <v>32</v>
      </c>
      <c r="D27" s="76" t="s">
        <v>33</v>
      </c>
      <c r="E27" s="76" t="s">
        <v>31</v>
      </c>
      <c r="F27" s="76" t="s">
        <v>431</v>
      </c>
      <c r="G27" s="76" t="s">
        <v>387</v>
      </c>
      <c r="H27" s="76" t="s">
        <v>388</v>
      </c>
      <c r="I27" s="63"/>
      <c r="J27" s="63"/>
      <c r="K27" s="63"/>
      <c r="L27" s="63"/>
      <c r="M27" s="63"/>
    </row>
    <row r="28" spans="1:17" x14ac:dyDescent="0.2">
      <c r="A28" s="16">
        <f t="shared" si="0"/>
        <v>27</v>
      </c>
      <c r="B28" s="40" t="s">
        <v>15</v>
      </c>
      <c r="C28" s="76" t="s">
        <v>481</v>
      </c>
      <c r="D28" s="76" t="s">
        <v>482</v>
      </c>
      <c r="E28" s="76" t="s">
        <v>69</v>
      </c>
      <c r="F28" s="76" t="s">
        <v>70</v>
      </c>
      <c r="G28" s="76" t="s">
        <v>452</v>
      </c>
      <c r="H28" s="76" t="s">
        <v>450</v>
      </c>
      <c r="I28" s="77" t="s">
        <v>438</v>
      </c>
      <c r="J28" s="77" t="s">
        <v>451</v>
      </c>
      <c r="K28" s="77" t="s">
        <v>483</v>
      </c>
      <c r="L28" s="63"/>
      <c r="M28" s="63"/>
    </row>
    <row r="29" spans="1:17" x14ac:dyDescent="0.2">
      <c r="A29" s="16">
        <f t="shared" si="0"/>
        <v>28</v>
      </c>
      <c r="B29" s="39" t="s">
        <v>195</v>
      </c>
      <c r="C29" s="76" t="s">
        <v>196</v>
      </c>
      <c r="D29" s="76" t="s">
        <v>524</v>
      </c>
      <c r="E29" s="76" t="s">
        <v>523</v>
      </c>
      <c r="F29" s="77" t="s">
        <v>395</v>
      </c>
      <c r="G29" s="77" t="s">
        <v>351</v>
      </c>
      <c r="H29" s="77" t="s">
        <v>352</v>
      </c>
      <c r="I29" s="77" t="s">
        <v>353</v>
      </c>
      <c r="J29" s="77" t="s">
        <v>409</v>
      </c>
      <c r="K29" s="63"/>
      <c r="L29" s="63"/>
      <c r="M29" s="63"/>
    </row>
    <row r="30" spans="1:17" x14ac:dyDescent="0.2">
      <c r="A30" s="16">
        <f t="shared" si="0"/>
        <v>29</v>
      </c>
      <c r="B30" s="39" t="s">
        <v>16</v>
      </c>
      <c r="C30" s="76" t="s">
        <v>260</v>
      </c>
      <c r="D30" s="76" t="s">
        <v>109</v>
      </c>
      <c r="E30" s="76" t="s">
        <v>350</v>
      </c>
      <c r="F30" s="76" t="s">
        <v>108</v>
      </c>
      <c r="G30" s="77"/>
      <c r="H30" s="76"/>
      <c r="I30" s="76"/>
      <c r="J30" s="63"/>
      <c r="K30" s="63"/>
      <c r="L30" s="63"/>
      <c r="M30" s="63"/>
    </row>
    <row r="31" spans="1:17" x14ac:dyDescent="0.2">
      <c r="A31" s="16">
        <f t="shared" si="0"/>
        <v>30</v>
      </c>
      <c r="B31" s="43" t="s">
        <v>240</v>
      </c>
      <c r="C31" s="76" t="s">
        <v>274</v>
      </c>
      <c r="D31" s="76" t="s">
        <v>411</v>
      </c>
      <c r="E31" s="76" t="s">
        <v>275</v>
      </c>
      <c r="F31" s="77" t="s">
        <v>400</v>
      </c>
      <c r="G31" s="77" t="s">
        <v>277</v>
      </c>
      <c r="H31" s="77" t="s">
        <v>276</v>
      </c>
      <c r="I31" s="63" t="s">
        <v>530</v>
      </c>
      <c r="J31" s="63" t="s">
        <v>531</v>
      </c>
      <c r="K31" s="63" t="s">
        <v>522</v>
      </c>
      <c r="L31" s="63"/>
      <c r="M31" s="63"/>
    </row>
    <row r="32" spans="1:17" ht="15" x14ac:dyDescent="0.25">
      <c r="A32" s="68">
        <f t="shared" si="0"/>
        <v>31</v>
      </c>
      <c r="B32" s="41">
        <v>911</v>
      </c>
      <c r="C32" s="76" t="s">
        <v>65</v>
      </c>
      <c r="D32" s="76" t="s">
        <v>415</v>
      </c>
      <c r="E32" s="76" t="s">
        <v>416</v>
      </c>
      <c r="F32" s="76" t="s">
        <v>74</v>
      </c>
      <c r="G32" s="77" t="s">
        <v>64</v>
      </c>
      <c r="H32" s="76" t="s">
        <v>552</v>
      </c>
      <c r="I32" s="76"/>
      <c r="J32" s="63"/>
      <c r="K32" s="63"/>
      <c r="L32" s="78"/>
      <c r="M32" s="79"/>
      <c r="N32" s="69"/>
      <c r="O32" s="69"/>
      <c r="P32" s="69"/>
      <c r="Q32" s="69"/>
    </row>
    <row r="33" spans="1:17" x14ac:dyDescent="0.2">
      <c r="A33" s="68">
        <v>32</v>
      </c>
      <c r="B33" s="84" t="s">
        <v>546</v>
      </c>
      <c r="C33" s="76" t="s">
        <v>540</v>
      </c>
      <c r="D33" s="76" t="s">
        <v>541</v>
      </c>
      <c r="E33" s="76" t="s">
        <v>542</v>
      </c>
      <c r="F33" s="76" t="s">
        <v>544</v>
      </c>
      <c r="G33" s="77" t="s">
        <v>545</v>
      </c>
      <c r="H33" s="76" t="s">
        <v>548</v>
      </c>
      <c r="I33" s="76" t="s">
        <v>549</v>
      </c>
      <c r="M33" s="63"/>
      <c r="N33" s="23"/>
      <c r="O33" s="23"/>
      <c r="P33" s="23"/>
      <c r="Q33" s="23"/>
    </row>
    <row r="34" spans="1:17" x14ac:dyDescent="0.2">
      <c r="K34" s="23" t="s">
        <v>342</v>
      </c>
    </row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655"/>
  <sheetViews>
    <sheetView topLeftCell="B1" zoomScale="90" zoomScaleNormal="90" workbookViewId="0">
      <pane xSplit="3300" topLeftCell="EJ1" activePane="topRight"/>
      <selection activeCell="B23" sqref="A23:XFD23"/>
      <selection pane="topRight" activeCell="EP41" sqref="EP41"/>
    </sheetView>
  </sheetViews>
  <sheetFormatPr defaultRowHeight="12.75" x14ac:dyDescent="0.2"/>
  <cols>
    <col min="1" max="1" width="6.28515625" customWidth="1"/>
    <col min="2" max="2" width="24.42578125" customWidth="1"/>
    <col min="4" max="4" width="8.85546875" customWidth="1"/>
    <col min="5" max="5" width="8.7109375" customWidth="1"/>
    <col min="7" max="7" width="8.140625" customWidth="1"/>
    <col min="8" max="8" width="7.140625" customWidth="1"/>
    <col min="9" max="9" width="9.5703125" customWidth="1"/>
    <col min="10" max="10" width="11.85546875" customWidth="1"/>
    <col min="11" max="15" width="12.5703125" customWidth="1"/>
    <col min="16" max="17" width="7.85546875" customWidth="1"/>
  </cols>
  <sheetData>
    <row r="1" spans="1:171" x14ac:dyDescent="0.2">
      <c r="A1" s="21" t="s">
        <v>3</v>
      </c>
      <c r="B1" s="21" t="s">
        <v>1</v>
      </c>
      <c r="C1" s="21" t="s">
        <v>96</v>
      </c>
      <c r="D1" s="21" t="s">
        <v>97</v>
      </c>
      <c r="E1" s="21" t="s">
        <v>98</v>
      </c>
      <c r="F1" s="21" t="s">
        <v>99</v>
      </c>
      <c r="G1" s="21" t="s">
        <v>100</v>
      </c>
      <c r="H1" s="21" t="s">
        <v>101</v>
      </c>
      <c r="I1" s="21" t="s">
        <v>102</v>
      </c>
      <c r="J1" s="21" t="s">
        <v>103</v>
      </c>
      <c r="K1" s="21" t="s">
        <v>104</v>
      </c>
      <c r="L1" s="21" t="s">
        <v>105</v>
      </c>
      <c r="M1" s="21" t="s">
        <v>295</v>
      </c>
      <c r="N1" s="21" t="s">
        <v>296</v>
      </c>
      <c r="O1" s="21" t="s">
        <v>297</v>
      </c>
      <c r="P1" s="21" t="s">
        <v>110</v>
      </c>
      <c r="Q1" s="21" t="s">
        <v>111</v>
      </c>
      <c r="R1" s="21" t="s">
        <v>112</v>
      </c>
      <c r="S1" s="21" t="s">
        <v>113</v>
      </c>
      <c r="T1" s="21" t="s">
        <v>114</v>
      </c>
      <c r="U1" s="21" t="s">
        <v>115</v>
      </c>
      <c r="V1" s="21" t="s">
        <v>116</v>
      </c>
      <c r="W1" s="21" t="s">
        <v>117</v>
      </c>
      <c r="X1" s="21" t="s">
        <v>118</v>
      </c>
      <c r="Y1" s="21" t="s">
        <v>119</v>
      </c>
      <c r="Z1" s="21" t="s">
        <v>298</v>
      </c>
      <c r="AA1" s="21" t="s">
        <v>299</v>
      </c>
      <c r="AB1" s="21" t="s">
        <v>300</v>
      </c>
      <c r="AC1" s="21" t="s">
        <v>120</v>
      </c>
      <c r="AD1" s="21" t="s">
        <v>121</v>
      </c>
      <c r="AE1" s="21" t="s">
        <v>122</v>
      </c>
      <c r="AF1" s="21" t="s">
        <v>123</v>
      </c>
      <c r="AG1" s="21" t="s">
        <v>124</v>
      </c>
      <c r="AH1" s="21" t="s">
        <v>125</v>
      </c>
      <c r="AI1" s="21" t="s">
        <v>126</v>
      </c>
      <c r="AJ1" s="21" t="s">
        <v>127</v>
      </c>
      <c r="AK1" s="21" t="s">
        <v>128</v>
      </c>
      <c r="AL1" s="21" t="s">
        <v>129</v>
      </c>
      <c r="AM1" s="21" t="s">
        <v>301</v>
      </c>
      <c r="AN1" s="21" t="s">
        <v>302</v>
      </c>
      <c r="AO1" s="21" t="s">
        <v>303</v>
      </c>
      <c r="AP1" s="21" t="s">
        <v>135</v>
      </c>
      <c r="AQ1" s="21" t="s">
        <v>136</v>
      </c>
      <c r="AR1" s="21" t="s">
        <v>137</v>
      </c>
      <c r="AS1" s="21" t="s">
        <v>138</v>
      </c>
      <c r="AT1" s="21" t="s">
        <v>139</v>
      </c>
      <c r="AU1" s="21" t="s">
        <v>140</v>
      </c>
      <c r="AV1" s="21" t="s">
        <v>141</v>
      </c>
      <c r="AW1" s="21" t="s">
        <v>142</v>
      </c>
      <c r="AX1" s="21" t="s">
        <v>143</v>
      </c>
      <c r="AY1" s="21" t="s">
        <v>144</v>
      </c>
      <c r="AZ1" s="21" t="s">
        <v>304</v>
      </c>
      <c r="BA1" s="21" t="s">
        <v>305</v>
      </c>
      <c r="BB1" s="21" t="s">
        <v>306</v>
      </c>
      <c r="BC1" s="21" t="s">
        <v>145</v>
      </c>
      <c r="BD1" s="21" t="s">
        <v>146</v>
      </c>
      <c r="BE1" s="21" t="s">
        <v>147</v>
      </c>
      <c r="BF1" s="21" t="s">
        <v>148</v>
      </c>
      <c r="BG1" s="21" t="s">
        <v>149</v>
      </c>
      <c r="BH1" s="21" t="s">
        <v>150</v>
      </c>
      <c r="BI1" s="21" t="s">
        <v>151</v>
      </c>
      <c r="BJ1" s="21" t="s">
        <v>152</v>
      </c>
      <c r="BK1" s="21" t="s">
        <v>153</v>
      </c>
      <c r="BL1" s="21" t="s">
        <v>154</v>
      </c>
      <c r="BM1" s="21" t="s">
        <v>307</v>
      </c>
      <c r="BN1" s="21" t="s">
        <v>308</v>
      </c>
      <c r="BO1" s="21" t="s">
        <v>309</v>
      </c>
      <c r="BP1" s="21" t="s">
        <v>155</v>
      </c>
      <c r="BQ1" s="21" t="s">
        <v>156</v>
      </c>
      <c r="BR1" s="21" t="s">
        <v>157</v>
      </c>
      <c r="BS1" s="21" t="s">
        <v>158</v>
      </c>
      <c r="BT1" s="21" t="s">
        <v>159</v>
      </c>
      <c r="BU1" s="21" t="s">
        <v>160</v>
      </c>
      <c r="BV1" s="21" t="s">
        <v>161</v>
      </c>
      <c r="BW1" s="21" t="s">
        <v>162</v>
      </c>
      <c r="BX1" s="21" t="s">
        <v>163</v>
      </c>
      <c r="BY1" s="21" t="s">
        <v>164</v>
      </c>
      <c r="BZ1" s="21" t="s">
        <v>310</v>
      </c>
      <c r="CA1" s="21" t="s">
        <v>311</v>
      </c>
      <c r="CB1" s="21" t="s">
        <v>312</v>
      </c>
      <c r="CC1" s="21" t="s">
        <v>165</v>
      </c>
      <c r="CD1" s="21" t="s">
        <v>166</v>
      </c>
      <c r="CE1" s="21" t="s">
        <v>167</v>
      </c>
      <c r="CF1" s="21" t="s">
        <v>168</v>
      </c>
      <c r="CG1" s="21" t="s">
        <v>169</v>
      </c>
      <c r="CH1" s="21" t="s">
        <v>170</v>
      </c>
      <c r="CI1" s="21" t="s">
        <v>171</v>
      </c>
      <c r="CJ1" s="21" t="s">
        <v>172</v>
      </c>
      <c r="CK1" s="21" t="s">
        <v>173</v>
      </c>
      <c r="CL1" s="21" t="s">
        <v>174</v>
      </c>
      <c r="CM1" s="21" t="s">
        <v>313</v>
      </c>
      <c r="CN1" s="21" t="s">
        <v>314</v>
      </c>
      <c r="CO1" s="21" t="s">
        <v>315</v>
      </c>
      <c r="CP1" s="21" t="s">
        <v>175</v>
      </c>
      <c r="CQ1" s="21" t="s">
        <v>176</v>
      </c>
      <c r="CR1" s="21" t="s">
        <v>177</v>
      </c>
      <c r="CS1" s="21" t="s">
        <v>178</v>
      </c>
      <c r="CT1" s="21" t="s">
        <v>179</v>
      </c>
      <c r="CU1" s="21" t="s">
        <v>180</v>
      </c>
      <c r="CV1" s="21" t="s">
        <v>181</v>
      </c>
      <c r="CW1" s="21" t="s">
        <v>182</v>
      </c>
      <c r="CX1" s="21" t="s">
        <v>183</v>
      </c>
      <c r="CY1" s="21" t="s">
        <v>184</v>
      </c>
      <c r="CZ1" s="21" t="s">
        <v>316</v>
      </c>
      <c r="DA1" s="21" t="s">
        <v>317</v>
      </c>
      <c r="DB1" s="21" t="s">
        <v>318</v>
      </c>
      <c r="DC1" s="21" t="s">
        <v>185</v>
      </c>
      <c r="DD1" s="21" t="s">
        <v>186</v>
      </c>
      <c r="DE1" s="21" t="s">
        <v>187</v>
      </c>
      <c r="DF1" s="21" t="s">
        <v>188</v>
      </c>
      <c r="DG1" s="21" t="s">
        <v>189</v>
      </c>
      <c r="DH1" s="21" t="s">
        <v>190</v>
      </c>
      <c r="DI1" s="21" t="s">
        <v>191</v>
      </c>
      <c r="DJ1" s="21" t="s">
        <v>192</v>
      </c>
      <c r="DK1" s="21" t="s">
        <v>193</v>
      </c>
      <c r="DL1" s="21" t="s">
        <v>194</v>
      </c>
      <c r="DM1" s="21" t="s">
        <v>319</v>
      </c>
      <c r="DN1" s="21" t="s">
        <v>320</v>
      </c>
      <c r="DO1" s="21" t="s">
        <v>321</v>
      </c>
      <c r="DP1" s="21" t="s">
        <v>198</v>
      </c>
      <c r="DQ1" s="21" t="s">
        <v>199</v>
      </c>
      <c r="DR1" s="21" t="s">
        <v>200</v>
      </c>
      <c r="DS1" s="21" t="s">
        <v>201</v>
      </c>
      <c r="DT1" s="21" t="s">
        <v>202</v>
      </c>
      <c r="DU1" s="21" t="s">
        <v>203</v>
      </c>
      <c r="DV1" s="21" t="s">
        <v>204</v>
      </c>
      <c r="DW1" s="21" t="s">
        <v>205</v>
      </c>
      <c r="DX1" s="21" t="s">
        <v>206</v>
      </c>
      <c r="DY1" s="21" t="s">
        <v>207</v>
      </c>
      <c r="DZ1" s="21" t="s">
        <v>322</v>
      </c>
      <c r="EA1" s="21" t="s">
        <v>323</v>
      </c>
      <c r="EB1" s="21" t="s">
        <v>324</v>
      </c>
      <c r="EC1" s="21" t="s">
        <v>208</v>
      </c>
      <c r="ED1" s="21" t="s">
        <v>209</v>
      </c>
      <c r="EE1" s="21" t="s">
        <v>210</v>
      </c>
      <c r="EF1" s="21" t="s">
        <v>211</v>
      </c>
      <c r="EG1" s="21" t="s">
        <v>212</v>
      </c>
      <c r="EH1" s="21" t="s">
        <v>213</v>
      </c>
      <c r="EI1" s="21" t="s">
        <v>214</v>
      </c>
      <c r="EJ1" s="21" t="s">
        <v>215</v>
      </c>
      <c r="EK1" s="21" t="s">
        <v>216</v>
      </c>
      <c r="EL1" s="21" t="s">
        <v>217</v>
      </c>
      <c r="EM1" s="21" t="s">
        <v>325</v>
      </c>
      <c r="EN1" s="21" t="s">
        <v>326</v>
      </c>
      <c r="EO1" s="21" t="s">
        <v>327</v>
      </c>
      <c r="EP1" s="21" t="s">
        <v>218</v>
      </c>
      <c r="EQ1" s="21" t="s">
        <v>219</v>
      </c>
      <c r="ER1" s="21" t="s">
        <v>220</v>
      </c>
      <c r="ES1" s="21" t="s">
        <v>221</v>
      </c>
      <c r="ET1" s="21" t="s">
        <v>222</v>
      </c>
      <c r="EU1" s="21" t="s">
        <v>223</v>
      </c>
      <c r="EV1" s="21" t="s">
        <v>224</v>
      </c>
      <c r="EW1" s="21" t="s">
        <v>225</v>
      </c>
      <c r="EX1" s="21" t="s">
        <v>226</v>
      </c>
      <c r="EY1" s="21" t="s">
        <v>227</v>
      </c>
      <c r="EZ1" s="21" t="s">
        <v>328</v>
      </c>
      <c r="FA1" s="21" t="s">
        <v>329</v>
      </c>
      <c r="FB1" s="21" t="s">
        <v>330</v>
      </c>
      <c r="FC1" s="21" t="s">
        <v>455</v>
      </c>
      <c r="FD1" s="21" t="s">
        <v>456</v>
      </c>
      <c r="FE1" s="21" t="s">
        <v>457</v>
      </c>
      <c r="FF1" s="21" t="s">
        <v>458</v>
      </c>
      <c r="FG1" s="21" t="s">
        <v>459</v>
      </c>
      <c r="FH1" s="21" t="s">
        <v>460</v>
      </c>
      <c r="FI1" s="21" t="s">
        <v>461</v>
      </c>
      <c r="FJ1" s="21" t="s">
        <v>462</v>
      </c>
      <c r="FK1" s="21" t="s">
        <v>463</v>
      </c>
      <c r="FL1" s="21" t="s">
        <v>464</v>
      </c>
      <c r="FM1" s="21" t="s">
        <v>465</v>
      </c>
      <c r="FN1" s="21" t="s">
        <v>466</v>
      </c>
      <c r="FO1" s="21" t="s">
        <v>467</v>
      </c>
    </row>
    <row r="2" spans="1:171" x14ac:dyDescent="0.2">
      <c r="A2" s="44">
        <v>1</v>
      </c>
      <c r="B2" s="45" t="s">
        <v>229</v>
      </c>
      <c r="C2" s="28">
        <v>550</v>
      </c>
      <c r="D2" s="28">
        <v>3</v>
      </c>
      <c r="E2" s="28">
        <v>20</v>
      </c>
      <c r="F2" s="28">
        <v>1179</v>
      </c>
      <c r="G2" s="28">
        <v>16</v>
      </c>
      <c r="H2" s="28"/>
      <c r="I2" s="28"/>
      <c r="J2" s="23"/>
      <c r="K2" s="23"/>
      <c r="L2" s="21"/>
      <c r="M2" s="21"/>
      <c r="N2" s="21"/>
      <c r="O2" s="21"/>
      <c r="P2" s="28">
        <v>3825</v>
      </c>
      <c r="Q2" s="28">
        <v>3</v>
      </c>
      <c r="R2" s="28">
        <v>17</v>
      </c>
      <c r="S2" s="28">
        <v>2995</v>
      </c>
      <c r="T2" s="28">
        <v>1</v>
      </c>
      <c r="U2" s="29"/>
      <c r="V2" s="29"/>
      <c r="W2" s="29"/>
      <c r="X2" s="29"/>
      <c r="Y2" s="29"/>
      <c r="Z2" s="29"/>
      <c r="AA2" s="29"/>
      <c r="AB2" s="29"/>
      <c r="AC2" s="28">
        <v>4756</v>
      </c>
      <c r="AD2" s="28">
        <v>5</v>
      </c>
      <c r="AE2" s="28">
        <v>20</v>
      </c>
      <c r="AF2" s="28">
        <v>3132</v>
      </c>
      <c r="AG2" s="28">
        <v>1</v>
      </c>
      <c r="AH2" s="28"/>
      <c r="AI2" s="28"/>
      <c r="AJ2" s="28"/>
      <c r="AK2" s="28"/>
      <c r="AL2" s="28"/>
      <c r="AM2" s="28"/>
      <c r="AN2" s="28"/>
      <c r="AO2" s="28"/>
      <c r="AP2" s="28">
        <v>4127</v>
      </c>
      <c r="AQ2" s="28">
        <v>6</v>
      </c>
      <c r="AR2" s="28">
        <v>20</v>
      </c>
      <c r="AS2" s="28">
        <v>4358</v>
      </c>
      <c r="AT2" s="28">
        <v>12</v>
      </c>
      <c r="AU2" s="28">
        <v>0</v>
      </c>
      <c r="AV2" s="28"/>
      <c r="AW2" s="28"/>
      <c r="AX2" s="28"/>
      <c r="AY2" s="28"/>
      <c r="AZ2" s="28"/>
      <c r="BA2" s="28"/>
      <c r="BB2" s="28"/>
      <c r="BC2" s="28">
        <v>4813</v>
      </c>
      <c r="BD2" s="28">
        <v>4</v>
      </c>
      <c r="BE2" s="28">
        <v>19</v>
      </c>
      <c r="BF2" s="28">
        <v>5025</v>
      </c>
      <c r="BG2" s="28">
        <v>2</v>
      </c>
      <c r="BH2" s="28"/>
      <c r="BI2" s="28"/>
      <c r="BJ2" s="28"/>
      <c r="BK2" s="28"/>
      <c r="BL2" s="28"/>
      <c r="BM2" s="28"/>
      <c r="BN2" s="28"/>
      <c r="BO2" s="28"/>
      <c r="BP2">
        <v>3124</v>
      </c>
      <c r="BQ2">
        <v>6</v>
      </c>
      <c r="BR2">
        <v>7</v>
      </c>
      <c r="BS2">
        <v>5468</v>
      </c>
      <c r="BT2">
        <v>2</v>
      </c>
      <c r="BU2" s="28"/>
      <c r="BV2" s="28"/>
      <c r="BW2" s="28"/>
      <c r="BX2" s="28"/>
      <c r="BY2" s="28"/>
      <c r="BZ2" s="28"/>
      <c r="CA2" s="28"/>
      <c r="CB2" s="28"/>
      <c r="CC2" s="28">
        <v>10050</v>
      </c>
      <c r="CD2" s="28">
        <v>5</v>
      </c>
      <c r="CE2" s="28">
        <v>13</v>
      </c>
      <c r="CF2" s="28">
        <v>2055</v>
      </c>
      <c r="CG2" s="28"/>
      <c r="CH2" s="28"/>
      <c r="CI2" s="28"/>
      <c r="CJ2" s="28"/>
      <c r="CK2" s="28"/>
      <c r="CL2" s="28"/>
      <c r="CM2" s="28"/>
      <c r="CN2" s="28"/>
      <c r="CO2" s="28"/>
      <c r="CP2" s="28">
        <v>6481</v>
      </c>
      <c r="CQ2" s="28">
        <v>4</v>
      </c>
      <c r="CR2" s="28">
        <v>18</v>
      </c>
      <c r="CS2" s="28">
        <v>5185</v>
      </c>
      <c r="CT2" s="28">
        <v>1</v>
      </c>
      <c r="CU2" s="28"/>
      <c r="CV2" s="23"/>
      <c r="CW2" s="23"/>
      <c r="CX2" s="23"/>
      <c r="CY2" s="23"/>
      <c r="CZ2" s="23"/>
      <c r="DA2" s="23"/>
      <c r="DB2" s="23"/>
      <c r="DC2" s="23">
        <v>2986</v>
      </c>
      <c r="DD2" s="23">
        <v>4</v>
      </c>
      <c r="DE2" s="23">
        <v>20</v>
      </c>
      <c r="DF2" s="23">
        <v>1624</v>
      </c>
      <c r="DG2" s="23">
        <v>0</v>
      </c>
      <c r="DH2" s="23"/>
      <c r="DI2" s="23"/>
      <c r="DJ2" s="23"/>
      <c r="DK2" s="23"/>
      <c r="DL2" s="23"/>
      <c r="DM2" s="23"/>
      <c r="DN2" s="23"/>
      <c r="DO2" s="23"/>
      <c r="DP2" s="23">
        <v>8636</v>
      </c>
      <c r="DQ2" s="23">
        <v>3</v>
      </c>
      <c r="DR2" s="23">
        <v>22</v>
      </c>
      <c r="DS2" s="23">
        <v>2003</v>
      </c>
      <c r="DT2" s="23">
        <v>3</v>
      </c>
      <c r="DU2" s="23">
        <v>0</v>
      </c>
      <c r="DV2" s="23"/>
      <c r="DW2" s="23"/>
      <c r="DX2" s="23"/>
      <c r="DY2" s="23"/>
      <c r="DZ2" s="23"/>
      <c r="EA2" s="23"/>
      <c r="EC2" s="22">
        <v>9832</v>
      </c>
      <c r="ED2" s="22">
        <v>11</v>
      </c>
      <c r="EE2" s="22">
        <v>16</v>
      </c>
      <c r="EF2" s="22">
        <v>7236</v>
      </c>
      <c r="EG2" s="22">
        <v>6</v>
      </c>
      <c r="EH2" s="22"/>
      <c r="EI2" s="22"/>
      <c r="EJ2" s="22"/>
      <c r="EK2" s="22"/>
      <c r="EL2" s="22"/>
      <c r="EM2" s="22"/>
      <c r="EN2" s="22"/>
      <c r="EO2" s="22"/>
      <c r="EP2" s="83">
        <v>4925</v>
      </c>
      <c r="EQ2" s="83">
        <v>5</v>
      </c>
      <c r="ER2" s="83">
        <v>11</v>
      </c>
      <c r="ES2" s="83">
        <v>8431</v>
      </c>
      <c r="ET2" s="83">
        <v>11</v>
      </c>
      <c r="EU2" s="83"/>
      <c r="EV2" s="83"/>
      <c r="EW2" s="83"/>
      <c r="EX2" s="83"/>
      <c r="EY2" s="83"/>
      <c r="EZ2" s="83"/>
      <c r="FA2" s="83"/>
      <c r="FB2" s="83"/>
      <c r="FC2" s="67">
        <v>42000</v>
      </c>
      <c r="FD2" s="67">
        <v>64</v>
      </c>
      <c r="FE2" s="67">
        <v>180</v>
      </c>
      <c r="FF2" s="67">
        <v>42000</v>
      </c>
      <c r="FG2" s="67">
        <v>67</v>
      </c>
      <c r="FH2" s="67"/>
      <c r="FI2" s="67"/>
      <c r="FJ2" s="67"/>
      <c r="FK2" s="67"/>
      <c r="FL2" s="67"/>
      <c r="FM2" s="67"/>
      <c r="FN2" s="67"/>
      <c r="FO2" s="67"/>
    </row>
    <row r="3" spans="1:171" x14ac:dyDescent="0.2">
      <c r="A3" s="48">
        <v>2</v>
      </c>
      <c r="B3" s="46" t="s">
        <v>4</v>
      </c>
      <c r="C3" s="28">
        <v>792</v>
      </c>
      <c r="D3" s="28">
        <v>1247</v>
      </c>
      <c r="E3" s="28">
        <v>3640</v>
      </c>
      <c r="F3" s="28">
        <v>21</v>
      </c>
      <c r="G3" s="28">
        <v>2925</v>
      </c>
      <c r="H3" s="28">
        <v>6</v>
      </c>
      <c r="I3" s="28">
        <v>150</v>
      </c>
      <c r="J3" s="28">
        <v>2358</v>
      </c>
      <c r="K3" s="23"/>
      <c r="L3" s="23"/>
      <c r="M3" s="23"/>
      <c r="N3" s="23"/>
      <c r="O3" s="23"/>
      <c r="P3" s="28">
        <v>1251</v>
      </c>
      <c r="Q3" s="28">
        <v>2020</v>
      </c>
      <c r="R3" s="28">
        <v>13885</v>
      </c>
      <c r="S3" s="28">
        <v>21</v>
      </c>
      <c r="T3" s="28">
        <v>3000</v>
      </c>
      <c r="U3" s="28">
        <v>6</v>
      </c>
      <c r="V3" s="28">
        <v>150</v>
      </c>
      <c r="W3" s="28">
        <v>1508</v>
      </c>
      <c r="X3" s="28"/>
      <c r="Y3" s="28"/>
      <c r="Z3" s="28"/>
      <c r="AA3" s="28"/>
      <c r="AB3" s="28"/>
      <c r="AC3" s="28">
        <v>1248</v>
      </c>
      <c r="AD3" s="28">
        <v>2303</v>
      </c>
      <c r="AE3" s="28">
        <v>3773</v>
      </c>
      <c r="AF3" s="28">
        <v>22</v>
      </c>
      <c r="AG3" s="28">
        <v>3070</v>
      </c>
      <c r="AH3" s="28">
        <v>6</v>
      </c>
      <c r="AI3" s="28">
        <v>150</v>
      </c>
      <c r="AJ3" s="28">
        <v>2148</v>
      </c>
      <c r="AK3" s="28"/>
      <c r="AL3" s="28"/>
      <c r="AM3" s="28"/>
      <c r="AN3" s="28"/>
      <c r="AO3" s="28"/>
      <c r="AP3" s="28">
        <v>816</v>
      </c>
      <c r="AQ3" s="28">
        <v>2616</v>
      </c>
      <c r="AR3" s="28">
        <v>2117</v>
      </c>
      <c r="AS3" s="28">
        <v>22</v>
      </c>
      <c r="AT3" s="28">
        <v>3010</v>
      </c>
      <c r="AU3" s="28">
        <v>6</v>
      </c>
      <c r="AV3" s="28">
        <v>150</v>
      </c>
      <c r="AW3" s="28">
        <v>1573</v>
      </c>
      <c r="AX3" s="28"/>
      <c r="AY3" s="28"/>
      <c r="AZ3" s="28"/>
      <c r="BA3" s="28"/>
      <c r="BB3" s="28"/>
      <c r="BC3" s="28">
        <v>929</v>
      </c>
      <c r="BD3" s="28">
        <v>2119</v>
      </c>
      <c r="BE3" s="28">
        <v>1640</v>
      </c>
      <c r="BF3" s="28">
        <v>23</v>
      </c>
      <c r="BG3" s="28">
        <v>3385</v>
      </c>
      <c r="BH3" s="28">
        <v>6</v>
      </c>
      <c r="BI3" s="28">
        <v>150</v>
      </c>
      <c r="BJ3" s="28">
        <v>1573</v>
      </c>
      <c r="BK3" s="28"/>
      <c r="BL3" s="28"/>
      <c r="BM3" s="28"/>
      <c r="BN3" s="28"/>
      <c r="BO3" s="28"/>
      <c r="BP3" s="28">
        <v>758</v>
      </c>
      <c r="BQ3" s="28">
        <v>1570</v>
      </c>
      <c r="BR3" s="28">
        <v>1726</v>
      </c>
      <c r="BS3" s="28">
        <v>23</v>
      </c>
      <c r="BT3" s="28">
        <v>3260</v>
      </c>
      <c r="BU3" s="28">
        <v>6</v>
      </c>
      <c r="BV3" s="28">
        <v>150</v>
      </c>
      <c r="BW3" s="28">
        <v>1573</v>
      </c>
      <c r="BX3" s="28"/>
      <c r="BY3" s="28"/>
      <c r="BZ3" s="28"/>
      <c r="CA3" s="28"/>
      <c r="CB3" s="28"/>
      <c r="CC3" s="28">
        <v>1095</v>
      </c>
      <c r="CD3" s="28">
        <v>1353</v>
      </c>
      <c r="CE3" s="28">
        <v>2898</v>
      </c>
      <c r="CF3" s="28">
        <v>23</v>
      </c>
      <c r="CG3" s="28">
        <v>3260</v>
      </c>
      <c r="CH3" s="28">
        <v>6</v>
      </c>
      <c r="CI3" s="28">
        <v>150</v>
      </c>
      <c r="CJ3" s="28">
        <v>1573</v>
      </c>
      <c r="CK3" s="28"/>
      <c r="CL3" s="28"/>
      <c r="CM3" s="28"/>
      <c r="CN3" s="28"/>
      <c r="CO3" s="28"/>
      <c r="CP3" s="28">
        <v>953</v>
      </c>
      <c r="CQ3" s="28">
        <v>1682</v>
      </c>
      <c r="CR3" s="28">
        <v>2796</v>
      </c>
      <c r="CS3" s="28">
        <v>24</v>
      </c>
      <c r="CT3" s="28">
        <v>3497</v>
      </c>
      <c r="CU3" s="28">
        <v>6</v>
      </c>
      <c r="CV3" s="28">
        <v>150</v>
      </c>
      <c r="CW3" s="28">
        <v>1573</v>
      </c>
      <c r="CX3" s="23"/>
      <c r="CY3" s="23"/>
      <c r="CZ3" s="23"/>
      <c r="DA3" s="23"/>
      <c r="DB3" s="23"/>
      <c r="DC3" s="23">
        <v>1136</v>
      </c>
      <c r="DD3" s="23">
        <v>2315</v>
      </c>
      <c r="DE3" s="23">
        <v>6124</v>
      </c>
      <c r="DF3" s="23">
        <v>24</v>
      </c>
      <c r="DG3" s="23">
        <v>3507</v>
      </c>
      <c r="DH3" s="23">
        <v>6</v>
      </c>
      <c r="DI3" s="23">
        <v>150</v>
      </c>
      <c r="DJ3" s="23">
        <v>1573</v>
      </c>
      <c r="DK3" s="23"/>
      <c r="DL3" s="23"/>
      <c r="DM3" s="23"/>
      <c r="DN3" s="23"/>
      <c r="DO3" s="23"/>
      <c r="DP3" s="23">
        <v>1249</v>
      </c>
      <c r="DQ3" s="23">
        <v>2321</v>
      </c>
      <c r="DR3" s="23">
        <v>4313</v>
      </c>
      <c r="DS3" s="23">
        <v>23</v>
      </c>
      <c r="DT3" s="23">
        <v>3510</v>
      </c>
      <c r="DU3" s="23">
        <v>6</v>
      </c>
      <c r="DV3" s="23">
        <v>150</v>
      </c>
      <c r="DW3" s="23">
        <v>1448</v>
      </c>
      <c r="DX3" s="23"/>
      <c r="DY3" s="23"/>
      <c r="DZ3" s="23"/>
      <c r="EA3" s="23"/>
      <c r="EB3" s="23"/>
      <c r="EC3" s="28">
        <v>1659</v>
      </c>
      <c r="ED3" s="28">
        <v>2934</v>
      </c>
      <c r="EE3" s="28">
        <v>8226</v>
      </c>
      <c r="EF3" s="28">
        <v>24</v>
      </c>
      <c r="EG3" s="28">
        <v>3560</v>
      </c>
      <c r="EH3" s="28">
        <v>6</v>
      </c>
      <c r="EI3" s="28">
        <v>150</v>
      </c>
      <c r="EJ3" s="28">
        <v>1448</v>
      </c>
      <c r="EK3" s="28"/>
      <c r="EL3" s="28"/>
      <c r="EM3" s="28"/>
      <c r="EN3" s="28"/>
      <c r="EO3" s="28"/>
      <c r="EP3" s="85">
        <v>1314</v>
      </c>
      <c r="EQ3" s="85">
        <v>2333</v>
      </c>
      <c r="ER3" s="85">
        <v>4145</v>
      </c>
      <c r="ES3" s="85">
        <v>23</v>
      </c>
      <c r="ET3" s="85">
        <v>3425</v>
      </c>
      <c r="EU3" s="85">
        <v>6</v>
      </c>
      <c r="EV3" s="85">
        <v>183</v>
      </c>
      <c r="EW3" s="85">
        <v>1523</v>
      </c>
      <c r="EX3" s="85"/>
      <c r="EY3" s="85"/>
      <c r="EZ3" s="85"/>
      <c r="FA3" s="85"/>
      <c r="FB3" s="85"/>
      <c r="FC3" s="67">
        <v>10290</v>
      </c>
      <c r="FD3" s="67">
        <v>22000</v>
      </c>
      <c r="FE3" s="67">
        <v>39900</v>
      </c>
      <c r="FF3" s="67">
        <v>25</v>
      </c>
      <c r="FG3" s="67">
        <v>30000</v>
      </c>
      <c r="FH3" s="67">
        <v>8</v>
      </c>
      <c r="FI3" s="67">
        <v>1800</v>
      </c>
      <c r="FJ3" s="67">
        <v>13000</v>
      </c>
      <c r="FK3" s="67"/>
      <c r="FL3" s="67"/>
      <c r="FM3" s="67"/>
      <c r="FN3" s="67"/>
      <c r="FO3" s="67"/>
    </row>
    <row r="4" spans="1:171" x14ac:dyDescent="0.2">
      <c r="A4" s="48">
        <v>3</v>
      </c>
      <c r="B4" s="46" t="s">
        <v>243</v>
      </c>
      <c r="C4" s="28">
        <v>378</v>
      </c>
      <c r="D4" s="28">
        <v>17.2</v>
      </c>
      <c r="E4" s="28">
        <v>212</v>
      </c>
      <c r="F4" s="28">
        <v>26</v>
      </c>
      <c r="G4" s="28">
        <v>5</v>
      </c>
      <c r="H4" s="28">
        <v>11</v>
      </c>
      <c r="I4" s="28"/>
      <c r="J4" s="28"/>
      <c r="K4" s="23"/>
      <c r="L4" s="21"/>
      <c r="M4" s="21"/>
      <c r="N4" s="21"/>
      <c r="O4" s="21"/>
      <c r="P4" s="28">
        <v>412</v>
      </c>
      <c r="Q4" s="28">
        <v>18.7</v>
      </c>
      <c r="R4" s="28">
        <v>231</v>
      </c>
      <c r="S4" s="28">
        <v>23</v>
      </c>
      <c r="T4" s="28">
        <v>1</v>
      </c>
      <c r="U4" s="28">
        <v>20</v>
      </c>
      <c r="V4" s="28"/>
      <c r="W4" s="28"/>
      <c r="X4" s="28"/>
      <c r="Y4" s="28"/>
      <c r="Z4" s="28"/>
      <c r="AA4" s="28"/>
      <c r="AB4" s="28"/>
      <c r="AC4" s="28">
        <v>284</v>
      </c>
      <c r="AD4" s="28">
        <v>14.2</v>
      </c>
      <c r="AE4" s="28">
        <v>138</v>
      </c>
      <c r="AF4" s="28">
        <v>21</v>
      </c>
      <c r="AG4" s="28">
        <v>0</v>
      </c>
      <c r="AH4" s="28">
        <v>14</v>
      </c>
      <c r="AI4" s="28"/>
      <c r="AJ4" s="28"/>
      <c r="AK4" s="28"/>
      <c r="AL4" s="28"/>
      <c r="AM4" s="28"/>
      <c r="AN4" s="28"/>
      <c r="AO4" s="28"/>
      <c r="AP4" s="28">
        <v>349</v>
      </c>
      <c r="AQ4" s="28">
        <v>15.2</v>
      </c>
      <c r="AR4" s="28">
        <v>198</v>
      </c>
      <c r="AS4" s="28">
        <v>20</v>
      </c>
      <c r="AT4" s="28">
        <v>2</v>
      </c>
      <c r="AU4" s="28">
        <v>19</v>
      </c>
      <c r="AV4" s="28"/>
      <c r="AW4" s="28"/>
      <c r="AX4" s="28"/>
      <c r="AY4" s="28"/>
      <c r="AZ4" s="28"/>
      <c r="BA4" s="28"/>
      <c r="BB4" s="28"/>
      <c r="BC4" s="28">
        <v>252</v>
      </c>
      <c r="BD4" s="28">
        <v>14</v>
      </c>
      <c r="BE4" s="28">
        <v>86</v>
      </c>
      <c r="BF4" s="28">
        <v>12</v>
      </c>
      <c r="BG4" s="28">
        <v>2</v>
      </c>
      <c r="BH4" s="28">
        <v>17</v>
      </c>
      <c r="BI4" s="28"/>
      <c r="BJ4" s="28"/>
      <c r="BK4" s="28"/>
      <c r="BL4" s="28"/>
      <c r="BM4" s="28"/>
      <c r="BN4" s="28"/>
      <c r="BO4" s="28"/>
      <c r="BP4" s="28">
        <v>239</v>
      </c>
      <c r="BQ4" s="28">
        <v>12.6</v>
      </c>
      <c r="BR4" s="28">
        <v>96</v>
      </c>
      <c r="BS4" s="28">
        <v>20</v>
      </c>
      <c r="BT4" s="28">
        <v>1</v>
      </c>
      <c r="BU4" s="28">
        <v>18</v>
      </c>
      <c r="BV4" s="28"/>
      <c r="BW4" s="28"/>
      <c r="BX4" s="28"/>
      <c r="BY4" s="28"/>
      <c r="BZ4" s="28"/>
      <c r="CA4" s="28"/>
      <c r="CB4" s="28"/>
      <c r="CC4" s="28">
        <v>283</v>
      </c>
      <c r="CD4" s="28">
        <v>13.5</v>
      </c>
      <c r="CE4" s="28">
        <v>112</v>
      </c>
      <c r="CF4" s="28">
        <v>27</v>
      </c>
      <c r="CG4" s="28">
        <v>2</v>
      </c>
      <c r="CH4" s="28">
        <v>16</v>
      </c>
      <c r="CI4" s="28"/>
      <c r="CJ4" s="28"/>
      <c r="CK4" s="28"/>
      <c r="CL4" s="28"/>
      <c r="CM4" s="28"/>
      <c r="CN4" s="28"/>
      <c r="CO4" s="28"/>
      <c r="CP4" s="28">
        <v>182</v>
      </c>
      <c r="CQ4" s="28">
        <v>10.4</v>
      </c>
      <c r="CR4" s="28">
        <v>69</v>
      </c>
      <c r="CS4" s="28">
        <v>18</v>
      </c>
      <c r="CT4" s="28">
        <v>1</v>
      </c>
      <c r="CU4" s="28">
        <v>10</v>
      </c>
      <c r="CV4" s="28"/>
      <c r="CW4" s="23"/>
      <c r="CX4" s="23"/>
      <c r="CY4" s="23"/>
      <c r="CZ4" s="23"/>
      <c r="DA4" s="23"/>
      <c r="DB4" s="23"/>
      <c r="DC4" s="23">
        <v>280</v>
      </c>
      <c r="DD4" s="23">
        <v>13.3</v>
      </c>
      <c r="DE4" s="23">
        <v>117</v>
      </c>
      <c r="DF4" s="23">
        <v>32</v>
      </c>
      <c r="DG4" s="23">
        <v>1</v>
      </c>
      <c r="DH4" s="23">
        <v>12</v>
      </c>
      <c r="DI4" s="23"/>
      <c r="DJ4" s="23"/>
      <c r="DK4" s="23"/>
      <c r="DL4" s="23"/>
      <c r="DM4" s="23"/>
      <c r="DN4" s="23"/>
      <c r="DO4" s="23"/>
      <c r="DP4" s="23">
        <v>277</v>
      </c>
      <c r="DQ4" s="23">
        <v>13.2</v>
      </c>
      <c r="DR4" s="23">
        <v>151</v>
      </c>
      <c r="DS4" s="23">
        <v>37</v>
      </c>
      <c r="DT4" s="23">
        <v>4</v>
      </c>
      <c r="DU4" s="23">
        <v>14</v>
      </c>
      <c r="DV4" s="23"/>
      <c r="DW4" s="23"/>
      <c r="DX4" s="23"/>
      <c r="DY4" s="23"/>
      <c r="DZ4" s="23"/>
      <c r="EA4" s="23"/>
      <c r="EB4" s="23"/>
      <c r="EC4" s="28">
        <v>187</v>
      </c>
      <c r="ED4" s="22">
        <v>8.9</v>
      </c>
      <c r="EE4" s="28">
        <v>113</v>
      </c>
      <c r="EF4" s="22">
        <v>20</v>
      </c>
      <c r="EG4" s="22">
        <v>2</v>
      </c>
      <c r="EH4" s="22">
        <v>18</v>
      </c>
      <c r="EI4" s="22"/>
      <c r="EJ4" s="22"/>
      <c r="EK4" s="22"/>
      <c r="EL4" s="22"/>
      <c r="EM4" s="22"/>
      <c r="EN4" s="22"/>
      <c r="EO4" s="22"/>
      <c r="EP4" s="83">
        <v>567</v>
      </c>
      <c r="EQ4" s="83">
        <v>27</v>
      </c>
      <c r="ER4" s="83">
        <v>232</v>
      </c>
      <c r="ES4" s="83">
        <v>53</v>
      </c>
      <c r="ET4" s="83">
        <v>1</v>
      </c>
      <c r="EU4" s="83">
        <v>16</v>
      </c>
      <c r="EV4" s="83"/>
      <c r="EW4" s="83"/>
      <c r="EX4" s="83"/>
      <c r="EY4" s="83"/>
      <c r="EZ4" s="83"/>
      <c r="FA4" s="83"/>
      <c r="FB4" s="83"/>
      <c r="FC4" s="67">
        <v>4375</v>
      </c>
      <c r="FD4" s="67">
        <v>17</v>
      </c>
      <c r="FE4" s="67">
        <v>2500</v>
      </c>
      <c r="FF4" s="67">
        <v>350</v>
      </c>
      <c r="FG4" s="67">
        <v>30</v>
      </c>
      <c r="FH4" s="67">
        <v>135</v>
      </c>
      <c r="FI4" s="67"/>
      <c r="FJ4" s="67"/>
      <c r="FK4" s="67"/>
      <c r="FL4" s="67"/>
      <c r="FM4" s="67"/>
      <c r="FN4" s="67"/>
      <c r="FO4" s="67"/>
    </row>
    <row r="5" spans="1:171" x14ac:dyDescent="0.2">
      <c r="A5" s="48">
        <v>4</v>
      </c>
      <c r="B5" s="46" t="s">
        <v>5</v>
      </c>
      <c r="C5" s="22">
        <v>39672</v>
      </c>
      <c r="D5" s="22">
        <v>1038</v>
      </c>
      <c r="E5" s="22">
        <v>80</v>
      </c>
      <c r="F5" s="22">
        <v>130</v>
      </c>
      <c r="G5" s="28"/>
      <c r="H5" s="28"/>
      <c r="I5" s="28"/>
      <c r="J5" s="28"/>
      <c r="K5" s="28"/>
      <c r="L5" s="22"/>
      <c r="M5" s="22"/>
      <c r="N5" s="22"/>
      <c r="O5" s="22"/>
      <c r="P5" s="22">
        <v>39703</v>
      </c>
      <c r="Q5" s="22">
        <v>969</v>
      </c>
      <c r="R5" s="22">
        <v>115</v>
      </c>
      <c r="S5" s="22">
        <v>48</v>
      </c>
      <c r="T5" s="28">
        <v>0</v>
      </c>
      <c r="U5" s="22">
        <v>0</v>
      </c>
      <c r="V5" s="22">
        <v>0</v>
      </c>
      <c r="W5" s="22">
        <v>35</v>
      </c>
      <c r="X5" s="22"/>
      <c r="Y5" s="22"/>
      <c r="Z5" s="22"/>
      <c r="AA5" s="22"/>
      <c r="AB5" s="22"/>
      <c r="AC5" s="22">
        <v>39694</v>
      </c>
      <c r="AD5" s="22">
        <v>1938</v>
      </c>
      <c r="AE5" s="22">
        <v>96</v>
      </c>
      <c r="AF5" s="22">
        <v>124</v>
      </c>
      <c r="AG5" s="22">
        <v>4</v>
      </c>
      <c r="AH5" s="22">
        <v>13.75</v>
      </c>
      <c r="AI5" s="22">
        <v>3</v>
      </c>
      <c r="AJ5" s="22"/>
      <c r="AK5" s="22"/>
      <c r="AL5" s="22"/>
      <c r="AM5" s="22"/>
      <c r="AN5" s="22"/>
      <c r="AO5" s="22"/>
      <c r="AP5" s="22">
        <v>39680</v>
      </c>
      <c r="AQ5" s="22">
        <v>1011</v>
      </c>
      <c r="AR5" s="22">
        <v>71</v>
      </c>
      <c r="AS5" s="22">
        <v>117</v>
      </c>
      <c r="AT5" s="22">
        <v>0</v>
      </c>
      <c r="AU5" s="22">
        <v>0</v>
      </c>
      <c r="AV5" s="22">
        <v>0</v>
      </c>
      <c r="AW5" s="22">
        <v>69</v>
      </c>
      <c r="AX5" s="22"/>
      <c r="AY5" s="22"/>
      <c r="AZ5" s="22"/>
      <c r="BA5" s="22"/>
      <c r="BB5" s="22"/>
      <c r="BC5" s="22">
        <v>39669</v>
      </c>
      <c r="BD5" s="22">
        <v>3518</v>
      </c>
      <c r="BE5" s="22">
        <v>120</v>
      </c>
      <c r="BF5" s="22">
        <v>85</v>
      </c>
      <c r="BG5" s="22">
        <v>4.5999999999999996</v>
      </c>
      <c r="BH5" s="22">
        <v>18.899999999999999</v>
      </c>
      <c r="BI5" s="22">
        <v>3</v>
      </c>
      <c r="BJ5" s="22">
        <v>0</v>
      </c>
      <c r="BK5" s="22"/>
      <c r="BL5" s="22"/>
      <c r="BM5" s="22"/>
      <c r="BN5" s="22"/>
      <c r="BO5" s="22"/>
      <c r="BP5" s="22">
        <v>39717</v>
      </c>
      <c r="BQ5" s="22">
        <v>10981</v>
      </c>
      <c r="BR5" s="22">
        <v>74</v>
      </c>
      <c r="BS5" s="22">
        <v>34</v>
      </c>
      <c r="BT5" s="22"/>
      <c r="BU5" s="22"/>
      <c r="BV5" s="22"/>
      <c r="BW5" s="22"/>
      <c r="BX5" s="22"/>
      <c r="BY5" s="22"/>
      <c r="BZ5" s="22"/>
      <c r="CA5" s="22"/>
      <c r="CB5" s="22"/>
      <c r="CC5" s="22">
        <v>39733</v>
      </c>
      <c r="CD5" s="22">
        <v>949</v>
      </c>
      <c r="CE5" s="22">
        <v>95</v>
      </c>
      <c r="CF5" s="22">
        <v>90</v>
      </c>
      <c r="CG5" s="22"/>
      <c r="CH5" s="22"/>
      <c r="CI5" s="22"/>
      <c r="CJ5" s="22"/>
      <c r="CK5" s="22"/>
      <c r="CL5" s="22"/>
      <c r="CM5" s="22"/>
      <c r="CN5" s="22"/>
      <c r="CO5" s="22"/>
      <c r="CP5" s="22">
        <v>39886</v>
      </c>
      <c r="CQ5" s="22">
        <v>1198</v>
      </c>
      <c r="CR5" s="22">
        <v>268</v>
      </c>
      <c r="CS5" s="22">
        <v>115</v>
      </c>
      <c r="CT5" s="22">
        <v>0</v>
      </c>
      <c r="CU5" s="22">
        <v>0</v>
      </c>
      <c r="CV5" s="22">
        <v>0</v>
      </c>
      <c r="CW5" s="22"/>
      <c r="CX5" s="22"/>
      <c r="CY5" s="22"/>
      <c r="CZ5" s="22"/>
      <c r="DA5" s="22"/>
      <c r="DB5" s="22"/>
      <c r="DC5" s="22">
        <v>39840</v>
      </c>
      <c r="DD5" s="22">
        <v>2475</v>
      </c>
      <c r="DE5" s="22">
        <v>89</v>
      </c>
      <c r="DF5" s="22">
        <v>135</v>
      </c>
      <c r="DG5" s="22"/>
      <c r="DH5" s="22"/>
      <c r="DI5" s="22"/>
      <c r="DJ5" s="22"/>
      <c r="DK5" s="22"/>
      <c r="DL5" s="22"/>
      <c r="DM5" s="22"/>
      <c r="DN5" s="22"/>
      <c r="DO5" s="22"/>
      <c r="DP5" s="22">
        <v>39822</v>
      </c>
      <c r="DQ5" s="22">
        <v>2380</v>
      </c>
      <c r="DR5" s="22">
        <v>76</v>
      </c>
      <c r="DS5" s="22">
        <v>99</v>
      </c>
      <c r="DT5" s="22"/>
      <c r="DU5" s="22"/>
      <c r="DV5" s="22"/>
      <c r="DW5" s="22">
        <v>130</v>
      </c>
      <c r="DX5" s="22"/>
      <c r="DY5" s="22"/>
      <c r="DZ5" s="22"/>
      <c r="EA5" s="22"/>
      <c r="EB5" s="22"/>
      <c r="EC5" s="22">
        <v>39855</v>
      </c>
      <c r="ED5" s="22">
        <v>10296</v>
      </c>
      <c r="EE5" s="22">
        <v>116</v>
      </c>
      <c r="EF5" s="22">
        <v>71</v>
      </c>
      <c r="EG5" s="22">
        <v>5</v>
      </c>
      <c r="EH5" s="22">
        <v>20.6</v>
      </c>
      <c r="EI5" s="22">
        <v>5</v>
      </c>
      <c r="EJ5" s="22"/>
      <c r="EK5" s="22"/>
      <c r="EL5" s="22"/>
      <c r="EM5" s="22"/>
      <c r="EN5" s="22"/>
      <c r="EO5" s="22"/>
      <c r="EP5" s="83">
        <v>39904</v>
      </c>
      <c r="EQ5" s="83">
        <v>953</v>
      </c>
      <c r="ER5" s="83">
        <v>85</v>
      </c>
      <c r="ES5" s="83">
        <v>38</v>
      </c>
      <c r="ET5" s="83"/>
      <c r="EU5" s="83"/>
      <c r="EV5" s="83"/>
      <c r="EW5" s="83"/>
      <c r="EX5" s="83"/>
      <c r="EY5" s="83"/>
      <c r="EZ5" s="83"/>
      <c r="FA5" s="83"/>
      <c r="FB5" s="83"/>
      <c r="FC5" s="67">
        <v>39250</v>
      </c>
      <c r="FD5" s="67">
        <v>50000</v>
      </c>
      <c r="FE5" s="67">
        <v>3000</v>
      </c>
      <c r="FF5" s="67">
        <v>3000</v>
      </c>
      <c r="FG5" s="67">
        <v>25</v>
      </c>
      <c r="FH5" s="67">
        <v>40</v>
      </c>
      <c r="FI5" s="67">
        <v>5</v>
      </c>
      <c r="FJ5" s="67">
        <v>500</v>
      </c>
      <c r="FK5" s="67"/>
      <c r="FL5" s="67"/>
      <c r="FM5" s="67"/>
      <c r="FN5" s="67"/>
      <c r="FO5" s="67"/>
    </row>
    <row r="6" spans="1:171" x14ac:dyDescent="0.2">
      <c r="A6" s="48">
        <v>5</v>
      </c>
      <c r="B6" s="46" t="s">
        <v>469</v>
      </c>
      <c r="C6" s="22">
        <v>927</v>
      </c>
      <c r="D6" s="22">
        <v>2.95</v>
      </c>
      <c r="E6" s="22">
        <v>221</v>
      </c>
      <c r="F6" s="22">
        <v>0.67</v>
      </c>
      <c r="G6" s="28">
        <v>6.1</v>
      </c>
      <c r="H6" s="28"/>
      <c r="I6" s="28"/>
      <c r="J6" s="28"/>
      <c r="K6" s="28"/>
      <c r="L6" s="22"/>
      <c r="M6" s="22"/>
      <c r="N6" s="22"/>
      <c r="O6" s="22"/>
      <c r="P6" s="22">
        <v>891</v>
      </c>
      <c r="Q6" s="22">
        <v>2.7</v>
      </c>
      <c r="R6" s="22">
        <v>211</v>
      </c>
      <c r="S6" s="22">
        <v>0.64</v>
      </c>
      <c r="T6" s="28">
        <v>5.0999999999999996</v>
      </c>
      <c r="U6" s="22"/>
      <c r="V6" s="22"/>
      <c r="W6" s="22"/>
      <c r="X6" s="22"/>
      <c r="Y6" s="22"/>
      <c r="Z6" s="22"/>
      <c r="AA6" s="22"/>
      <c r="AB6" s="22"/>
      <c r="AC6" s="22">
        <v>869</v>
      </c>
      <c r="AD6" s="22">
        <v>2.9</v>
      </c>
      <c r="AE6" s="22">
        <v>196</v>
      </c>
      <c r="AF6" s="22">
        <v>0.65</v>
      </c>
      <c r="AG6" s="22">
        <v>1</v>
      </c>
      <c r="AH6" s="22"/>
      <c r="AI6" s="22"/>
      <c r="AJ6" s="22"/>
      <c r="AK6" s="22"/>
      <c r="AL6" s="22"/>
      <c r="AM6" s="22"/>
      <c r="AN6" s="22"/>
      <c r="AO6" s="22"/>
      <c r="AP6" s="22">
        <v>1279</v>
      </c>
      <c r="AQ6" s="22">
        <v>3.7</v>
      </c>
      <c r="AR6" s="22">
        <v>244</v>
      </c>
      <c r="AS6" s="22">
        <v>0.7</v>
      </c>
      <c r="AT6" s="22">
        <v>3</v>
      </c>
      <c r="AU6" s="22"/>
      <c r="AV6" s="22"/>
      <c r="AW6" s="22"/>
      <c r="AX6" s="22"/>
      <c r="AY6" s="22"/>
      <c r="AZ6" s="22"/>
      <c r="BA6" s="22"/>
      <c r="BB6" s="22"/>
      <c r="BC6" s="22">
        <v>907</v>
      </c>
      <c r="BD6" s="22">
        <v>3.4</v>
      </c>
      <c r="BE6" s="22">
        <v>192</v>
      </c>
      <c r="BF6" s="22">
        <v>0.71</v>
      </c>
      <c r="BG6" s="22">
        <v>0.8</v>
      </c>
      <c r="BH6" s="22"/>
      <c r="BI6" s="22"/>
      <c r="BJ6" s="22"/>
      <c r="BK6" s="22"/>
      <c r="BL6" s="22"/>
      <c r="BM6" s="22"/>
      <c r="BN6" s="22"/>
      <c r="BO6" s="22"/>
      <c r="BP6" s="22">
        <v>741</v>
      </c>
      <c r="BQ6" s="22">
        <v>2.6</v>
      </c>
      <c r="BR6" s="22">
        <v>143</v>
      </c>
      <c r="BS6" s="22">
        <v>0.5</v>
      </c>
      <c r="BT6" s="22">
        <v>4.2</v>
      </c>
      <c r="BU6" s="22"/>
      <c r="BV6" s="22"/>
      <c r="BW6" s="22"/>
      <c r="BX6" s="22"/>
      <c r="BY6" s="22"/>
      <c r="BZ6" s="22"/>
      <c r="CA6" s="22"/>
      <c r="CB6" s="22"/>
      <c r="CC6" s="22">
        <v>816</v>
      </c>
      <c r="CD6" s="22">
        <v>2.6</v>
      </c>
      <c r="CE6" s="22">
        <v>164</v>
      </c>
      <c r="CF6" s="22">
        <v>0.52</v>
      </c>
      <c r="CG6" s="22">
        <v>0.25</v>
      </c>
      <c r="CH6" s="22"/>
      <c r="CI6" s="22"/>
      <c r="CJ6" s="22"/>
      <c r="CK6" s="22"/>
      <c r="CL6" s="22"/>
      <c r="CM6" s="22"/>
      <c r="CN6" s="22"/>
      <c r="CO6" s="22"/>
      <c r="CP6" s="22">
        <v>838</v>
      </c>
      <c r="CQ6" s="22">
        <v>3.2</v>
      </c>
      <c r="CR6" s="22">
        <v>171</v>
      </c>
      <c r="CS6" s="22">
        <v>0.65</v>
      </c>
      <c r="CT6" s="22">
        <v>3.45</v>
      </c>
      <c r="CU6" s="22"/>
      <c r="CV6" s="22"/>
      <c r="CW6" s="22"/>
      <c r="CX6" s="22"/>
      <c r="CY6" s="22"/>
      <c r="CZ6" s="22"/>
      <c r="DA6" s="22"/>
      <c r="DB6" s="22"/>
      <c r="DC6" s="22">
        <v>954</v>
      </c>
      <c r="DD6" s="22">
        <v>3.03</v>
      </c>
      <c r="DE6" s="22">
        <v>233</v>
      </c>
      <c r="DF6" s="22">
        <v>0.74</v>
      </c>
      <c r="DG6" s="22">
        <v>1.95</v>
      </c>
      <c r="DH6" s="22"/>
      <c r="DI6" s="22"/>
      <c r="DJ6" s="22"/>
      <c r="DK6" s="22"/>
      <c r="DL6" s="22"/>
      <c r="DM6" s="22"/>
      <c r="DN6" s="22"/>
      <c r="DO6" s="22"/>
      <c r="DP6" s="22">
        <v>1147</v>
      </c>
      <c r="DQ6" s="22">
        <v>3.6</v>
      </c>
      <c r="DR6" s="22">
        <v>223</v>
      </c>
      <c r="DS6" s="22">
        <v>0.71</v>
      </c>
      <c r="DT6" s="22">
        <v>1.4</v>
      </c>
      <c r="DU6" s="22"/>
      <c r="DX6" s="22"/>
      <c r="DY6" s="22"/>
      <c r="DZ6" s="22"/>
      <c r="EA6" s="22"/>
      <c r="EB6" s="22"/>
      <c r="EC6" s="22">
        <v>1098</v>
      </c>
      <c r="ED6" s="22">
        <v>3.49</v>
      </c>
      <c r="EE6" s="22">
        <v>277</v>
      </c>
      <c r="EF6" s="22">
        <v>0.88</v>
      </c>
      <c r="EG6" s="22">
        <v>4.3</v>
      </c>
      <c r="EH6" s="22"/>
      <c r="EI6" s="22"/>
      <c r="EJ6" s="22"/>
      <c r="EK6" s="22"/>
      <c r="EL6" s="22"/>
      <c r="EM6" s="22"/>
      <c r="EN6" s="22"/>
      <c r="EO6" s="22"/>
      <c r="EP6" s="83">
        <v>1142</v>
      </c>
      <c r="EQ6" s="83">
        <v>3.63</v>
      </c>
      <c r="ER6" s="83">
        <v>229</v>
      </c>
      <c r="ES6" s="83">
        <v>0.73</v>
      </c>
      <c r="ET6" s="83">
        <v>0.5</v>
      </c>
      <c r="EU6" s="83"/>
      <c r="EV6" s="83"/>
      <c r="EW6" s="83"/>
      <c r="EX6" s="83"/>
      <c r="EY6" s="83"/>
      <c r="EZ6" s="83"/>
      <c r="FA6" s="83"/>
      <c r="FB6" s="83"/>
      <c r="FC6" s="67">
        <v>11810</v>
      </c>
      <c r="FD6" s="67">
        <v>3.16</v>
      </c>
      <c r="FE6" s="67">
        <v>2031</v>
      </c>
      <c r="FF6" s="67">
        <v>0.55000000000000004</v>
      </c>
      <c r="FG6" s="67">
        <v>80</v>
      </c>
      <c r="FH6" s="67"/>
      <c r="FI6" s="67"/>
      <c r="FJ6" s="67"/>
      <c r="FK6" s="67"/>
      <c r="FL6" s="67"/>
      <c r="FM6" s="67"/>
      <c r="FN6" s="67"/>
      <c r="FO6" s="67"/>
    </row>
    <row r="7" spans="1:171" x14ac:dyDescent="0.2">
      <c r="A7" s="48">
        <v>6</v>
      </c>
      <c r="B7" s="46" t="s">
        <v>6</v>
      </c>
      <c r="C7" s="22">
        <v>381</v>
      </c>
      <c r="D7" s="22">
        <v>153</v>
      </c>
      <c r="E7" s="22">
        <v>70</v>
      </c>
      <c r="F7" s="22">
        <v>70</v>
      </c>
      <c r="G7" s="28">
        <v>5</v>
      </c>
      <c r="H7" s="28">
        <v>25</v>
      </c>
      <c r="I7" s="28">
        <v>104</v>
      </c>
      <c r="J7" s="28">
        <v>40</v>
      </c>
      <c r="K7" s="28">
        <v>0</v>
      </c>
      <c r="L7" s="22">
        <v>29</v>
      </c>
      <c r="M7" s="22">
        <v>2094</v>
      </c>
      <c r="N7" s="22">
        <v>0</v>
      </c>
      <c r="O7" s="22">
        <v>0</v>
      </c>
      <c r="P7" s="22">
        <v>219</v>
      </c>
      <c r="Q7" s="22">
        <v>156</v>
      </c>
      <c r="R7" s="22">
        <v>0</v>
      </c>
      <c r="S7" s="22">
        <v>0</v>
      </c>
      <c r="T7" s="28">
        <v>0</v>
      </c>
      <c r="U7" s="22">
        <v>99</v>
      </c>
      <c r="V7" s="22">
        <v>99</v>
      </c>
      <c r="W7" s="22">
        <v>0</v>
      </c>
      <c r="X7" s="22">
        <v>0</v>
      </c>
      <c r="Y7" s="22">
        <v>28</v>
      </c>
      <c r="Z7" s="22">
        <v>1078</v>
      </c>
      <c r="AA7" s="22">
        <v>0</v>
      </c>
      <c r="AB7" s="22">
        <v>0</v>
      </c>
      <c r="AC7" s="22">
        <v>148</v>
      </c>
      <c r="AD7" s="22">
        <v>106</v>
      </c>
      <c r="AE7" s="22">
        <v>0</v>
      </c>
      <c r="AF7" s="22">
        <v>0</v>
      </c>
      <c r="AG7" s="22">
        <v>0</v>
      </c>
      <c r="AH7" s="22">
        <v>0</v>
      </c>
      <c r="AI7" s="22">
        <v>16</v>
      </c>
      <c r="AJ7" s="22">
        <v>16</v>
      </c>
      <c r="AK7" s="22">
        <v>0</v>
      </c>
      <c r="AL7" s="22">
        <v>57</v>
      </c>
      <c r="AM7" s="22">
        <v>1850</v>
      </c>
      <c r="AN7" s="22">
        <v>0</v>
      </c>
      <c r="AO7" s="22">
        <v>0</v>
      </c>
      <c r="AP7" s="22">
        <v>747</v>
      </c>
      <c r="AQ7" s="22">
        <v>87</v>
      </c>
      <c r="AR7" s="22">
        <v>9</v>
      </c>
      <c r="AS7" s="22">
        <v>30</v>
      </c>
      <c r="AT7" s="22">
        <v>0</v>
      </c>
      <c r="AU7" s="22">
        <v>47</v>
      </c>
      <c r="AV7" s="22">
        <v>403</v>
      </c>
      <c r="AW7" s="22">
        <v>64</v>
      </c>
      <c r="AX7" s="22">
        <v>0</v>
      </c>
      <c r="AY7" s="22">
        <v>704</v>
      </c>
      <c r="AZ7" s="22">
        <v>2800</v>
      </c>
      <c r="BA7" s="22">
        <v>0</v>
      </c>
      <c r="BB7" s="22">
        <v>0</v>
      </c>
      <c r="BC7" s="22">
        <v>182</v>
      </c>
      <c r="BD7" s="22">
        <v>64</v>
      </c>
      <c r="BE7" s="22">
        <v>10</v>
      </c>
      <c r="BF7" s="22">
        <v>75</v>
      </c>
      <c r="BG7" s="22">
        <v>0</v>
      </c>
      <c r="BH7" s="22">
        <v>37</v>
      </c>
      <c r="BI7" s="22">
        <v>328</v>
      </c>
      <c r="BJ7" s="22">
        <v>111</v>
      </c>
      <c r="BK7" s="22">
        <v>0</v>
      </c>
      <c r="BL7" s="22">
        <v>38</v>
      </c>
      <c r="BM7" s="22">
        <v>2995</v>
      </c>
      <c r="BN7" s="22"/>
      <c r="BO7" s="22"/>
      <c r="BP7" s="22">
        <v>394</v>
      </c>
      <c r="BQ7" s="22">
        <v>159</v>
      </c>
      <c r="BR7" s="22">
        <v>12</v>
      </c>
      <c r="BS7" s="22">
        <v>0</v>
      </c>
      <c r="BT7" s="22">
        <v>11</v>
      </c>
      <c r="BU7" s="22">
        <v>16</v>
      </c>
      <c r="BV7" s="22">
        <v>152</v>
      </c>
      <c r="BW7" s="22">
        <v>69</v>
      </c>
      <c r="BX7" s="22">
        <v>0</v>
      </c>
      <c r="BY7" s="22">
        <v>18</v>
      </c>
      <c r="BZ7" s="22">
        <v>2650</v>
      </c>
      <c r="CA7" s="22"/>
      <c r="CB7" s="22"/>
      <c r="CC7" s="22">
        <v>380</v>
      </c>
      <c r="CD7" s="22">
        <v>171</v>
      </c>
      <c r="CE7" s="22">
        <v>0</v>
      </c>
      <c r="CF7" s="22">
        <v>0</v>
      </c>
      <c r="CG7" s="22">
        <v>23</v>
      </c>
      <c r="CH7" s="22">
        <v>49</v>
      </c>
      <c r="CI7" s="22">
        <v>27</v>
      </c>
      <c r="CJ7" s="22">
        <v>18</v>
      </c>
      <c r="CK7" s="22">
        <v>6</v>
      </c>
      <c r="CL7" s="22">
        <v>227</v>
      </c>
      <c r="CM7" s="22">
        <v>2030</v>
      </c>
      <c r="CN7" s="22">
        <v>0</v>
      </c>
      <c r="CO7" s="22"/>
      <c r="CP7" s="22">
        <v>537</v>
      </c>
      <c r="CQ7" s="22">
        <v>246</v>
      </c>
      <c r="CR7" s="22">
        <v>0</v>
      </c>
      <c r="CS7" s="22">
        <v>0</v>
      </c>
      <c r="CT7" s="22">
        <v>55</v>
      </c>
      <c r="CU7" s="22">
        <v>11</v>
      </c>
      <c r="CV7" s="22">
        <v>48</v>
      </c>
      <c r="CW7" s="22">
        <v>7</v>
      </c>
      <c r="CX7" s="22">
        <v>4</v>
      </c>
      <c r="CY7" s="22">
        <v>177</v>
      </c>
      <c r="CZ7" s="22">
        <v>956</v>
      </c>
      <c r="DA7" s="22"/>
      <c r="DB7" s="22"/>
      <c r="DC7" s="22">
        <v>343</v>
      </c>
      <c r="DD7" s="22">
        <v>92</v>
      </c>
      <c r="DE7" s="22">
        <v>44</v>
      </c>
      <c r="DF7" s="22">
        <v>0</v>
      </c>
      <c r="DG7" s="22">
        <v>0</v>
      </c>
      <c r="DH7" s="22">
        <v>11</v>
      </c>
      <c r="DI7" s="22">
        <v>200</v>
      </c>
      <c r="DJ7" s="22">
        <v>60</v>
      </c>
      <c r="DK7" s="22">
        <v>6</v>
      </c>
      <c r="DL7" s="22">
        <v>183</v>
      </c>
      <c r="DM7" s="22">
        <v>922</v>
      </c>
      <c r="DN7" s="22"/>
      <c r="DO7" s="22"/>
      <c r="DP7" s="22">
        <v>258</v>
      </c>
      <c r="DQ7" s="52">
        <v>113</v>
      </c>
      <c r="DR7" s="52">
        <v>0</v>
      </c>
      <c r="DS7" s="22">
        <v>0</v>
      </c>
      <c r="DT7" s="22">
        <v>19</v>
      </c>
      <c r="DU7" s="22">
        <v>4</v>
      </c>
      <c r="DV7" s="22">
        <v>83</v>
      </c>
      <c r="DW7" s="22">
        <v>38</v>
      </c>
      <c r="DX7" s="22">
        <v>9</v>
      </c>
      <c r="DY7" s="22">
        <v>91</v>
      </c>
      <c r="DZ7" s="22">
        <v>952</v>
      </c>
      <c r="EC7" s="52">
        <v>155</v>
      </c>
      <c r="ED7" s="52">
        <v>109</v>
      </c>
      <c r="EE7" s="52">
        <v>9</v>
      </c>
      <c r="EF7" s="52">
        <v>35</v>
      </c>
      <c r="EG7" s="52">
        <v>15</v>
      </c>
      <c r="EH7" s="52">
        <v>34</v>
      </c>
      <c r="EI7" s="52">
        <v>520</v>
      </c>
      <c r="EJ7" s="52">
        <v>37</v>
      </c>
      <c r="EK7" s="52">
        <v>23</v>
      </c>
      <c r="EL7" s="52">
        <v>63</v>
      </c>
      <c r="EM7" s="52">
        <v>1402</v>
      </c>
      <c r="EN7" s="22"/>
      <c r="EO7" s="22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67">
        <v>9500</v>
      </c>
      <c r="FD7" s="67">
        <v>750</v>
      </c>
      <c r="FE7" s="67">
        <v>20</v>
      </c>
      <c r="FF7" s="67">
        <v>0</v>
      </c>
      <c r="FG7" s="67">
        <v>340</v>
      </c>
      <c r="FH7" s="67">
        <v>275</v>
      </c>
      <c r="FI7" s="67">
        <v>2700</v>
      </c>
      <c r="FJ7" s="67">
        <v>500</v>
      </c>
      <c r="FK7" s="67">
        <v>100</v>
      </c>
      <c r="FL7" s="67">
        <v>1100</v>
      </c>
      <c r="FM7" s="67">
        <v>7200</v>
      </c>
      <c r="FN7" s="67"/>
      <c r="FO7" s="67"/>
    </row>
    <row r="8" spans="1:171" x14ac:dyDescent="0.2">
      <c r="A8" s="48">
        <v>7</v>
      </c>
      <c r="B8" s="46" t="s">
        <v>242</v>
      </c>
      <c r="C8" s="22">
        <v>60</v>
      </c>
      <c r="D8" s="22">
        <v>5</v>
      </c>
      <c r="E8" s="22">
        <v>9</v>
      </c>
      <c r="F8" s="22">
        <v>2</v>
      </c>
      <c r="G8" s="28">
        <v>1</v>
      </c>
      <c r="H8" s="28">
        <v>1</v>
      </c>
      <c r="I8" s="28">
        <v>29</v>
      </c>
      <c r="J8" s="28"/>
      <c r="K8" s="28"/>
      <c r="L8" s="22"/>
      <c r="M8" s="22"/>
      <c r="N8" s="22"/>
      <c r="O8" s="22"/>
      <c r="P8" s="22">
        <v>61</v>
      </c>
      <c r="Q8" s="22">
        <v>5</v>
      </c>
      <c r="R8" s="22">
        <v>2</v>
      </c>
      <c r="S8" s="22">
        <v>4</v>
      </c>
      <c r="T8" s="28">
        <v>0</v>
      </c>
      <c r="U8" s="22">
        <v>0</v>
      </c>
      <c r="V8" s="22">
        <v>31</v>
      </c>
      <c r="W8" s="22"/>
      <c r="X8" s="22"/>
      <c r="Y8" s="22"/>
      <c r="Z8" s="22"/>
      <c r="AA8" s="22"/>
      <c r="AB8" s="22"/>
      <c r="AC8" s="22">
        <v>47</v>
      </c>
      <c r="AD8" s="22">
        <v>7</v>
      </c>
      <c r="AE8" s="22">
        <v>10</v>
      </c>
      <c r="AF8" s="22">
        <v>2</v>
      </c>
      <c r="AG8" s="22">
        <v>0</v>
      </c>
      <c r="AH8" s="22">
        <v>0</v>
      </c>
      <c r="AI8" s="22">
        <v>15</v>
      </c>
      <c r="AJ8" s="22"/>
      <c r="AK8" s="22"/>
      <c r="AL8" s="22"/>
      <c r="AM8" s="22"/>
      <c r="AN8" s="22"/>
      <c r="AO8" s="22"/>
      <c r="AP8" s="22">
        <v>34</v>
      </c>
      <c r="AQ8" s="22">
        <v>5</v>
      </c>
      <c r="AR8" s="22">
        <v>7</v>
      </c>
      <c r="AS8" s="22">
        <v>1</v>
      </c>
      <c r="AT8" s="22">
        <v>2</v>
      </c>
      <c r="AU8" s="22">
        <v>0</v>
      </c>
      <c r="AV8" s="22">
        <v>14</v>
      </c>
      <c r="AW8" s="22"/>
      <c r="AX8" s="22"/>
      <c r="AY8" s="22"/>
      <c r="AZ8" s="22"/>
      <c r="BA8" s="22"/>
      <c r="BB8" s="22"/>
      <c r="BC8" s="22">
        <v>25</v>
      </c>
      <c r="BD8" s="22">
        <v>6</v>
      </c>
      <c r="BE8" s="22">
        <v>9</v>
      </c>
      <c r="BF8" s="22">
        <v>4</v>
      </c>
      <c r="BG8" s="22">
        <v>2</v>
      </c>
      <c r="BH8" s="22"/>
      <c r="BI8" s="22"/>
      <c r="BJ8" s="22"/>
      <c r="BK8" s="22"/>
      <c r="BL8" s="22"/>
      <c r="BM8" s="22"/>
      <c r="BN8" s="22"/>
      <c r="BO8" s="22"/>
      <c r="BP8" s="22">
        <v>15</v>
      </c>
      <c r="BQ8" s="22">
        <v>12</v>
      </c>
      <c r="BR8" s="22">
        <v>6</v>
      </c>
      <c r="BS8" s="22">
        <v>3</v>
      </c>
      <c r="BT8" s="22">
        <v>1</v>
      </c>
      <c r="BU8" s="22">
        <v>0</v>
      </c>
      <c r="BV8" s="22">
        <v>31</v>
      </c>
      <c r="BW8" s="22"/>
      <c r="BX8" s="22"/>
      <c r="BY8" s="22"/>
      <c r="BZ8" s="22"/>
      <c r="CA8" s="22"/>
      <c r="CB8" s="22"/>
      <c r="CC8" s="22">
        <v>50</v>
      </c>
      <c r="CD8" s="22">
        <v>15</v>
      </c>
      <c r="CE8" s="22">
        <v>2</v>
      </c>
      <c r="CF8" s="22">
        <v>0</v>
      </c>
      <c r="CG8" s="22">
        <v>1</v>
      </c>
      <c r="CH8" s="22">
        <v>0</v>
      </c>
      <c r="CI8" s="22">
        <v>31</v>
      </c>
      <c r="CJ8" s="22"/>
      <c r="CK8" s="22"/>
      <c r="CL8" s="22"/>
      <c r="CM8" s="22"/>
      <c r="CN8" s="22"/>
      <c r="CO8" s="22"/>
      <c r="CP8" s="22">
        <v>30</v>
      </c>
      <c r="CQ8" s="22">
        <v>8</v>
      </c>
      <c r="CR8" s="22">
        <v>10</v>
      </c>
      <c r="CS8" s="22">
        <v>6</v>
      </c>
      <c r="CT8" s="22">
        <v>1</v>
      </c>
      <c r="CU8" s="22">
        <v>4</v>
      </c>
      <c r="CV8" s="22">
        <v>4</v>
      </c>
      <c r="CW8" s="22"/>
      <c r="CX8" s="22"/>
      <c r="CY8" s="22"/>
      <c r="CZ8" s="22"/>
      <c r="DA8" s="22"/>
      <c r="DB8" s="22"/>
      <c r="DC8" s="22">
        <v>38</v>
      </c>
      <c r="DD8" s="22">
        <v>10</v>
      </c>
      <c r="DE8" s="22">
        <v>9</v>
      </c>
      <c r="DF8" s="22">
        <v>0</v>
      </c>
      <c r="DG8" s="22">
        <v>0</v>
      </c>
      <c r="DH8" s="22">
        <v>0</v>
      </c>
      <c r="DI8" s="22">
        <v>31</v>
      </c>
      <c r="DJ8" s="22"/>
      <c r="DK8" s="22"/>
      <c r="DL8" s="22"/>
      <c r="DM8" s="22"/>
      <c r="DN8" s="22"/>
      <c r="DO8" s="22"/>
      <c r="DP8" s="22">
        <v>35</v>
      </c>
      <c r="DQ8">
        <v>10</v>
      </c>
      <c r="DR8">
        <v>8</v>
      </c>
      <c r="DS8" s="22">
        <v>0</v>
      </c>
      <c r="DT8" s="22">
        <v>1</v>
      </c>
      <c r="DU8" s="22">
        <v>2</v>
      </c>
      <c r="DV8" s="22">
        <v>54</v>
      </c>
      <c r="EC8" s="22">
        <v>34</v>
      </c>
      <c r="ED8" s="22">
        <v>4</v>
      </c>
      <c r="EE8" s="22">
        <v>5</v>
      </c>
      <c r="EF8" s="22">
        <v>5</v>
      </c>
      <c r="EG8" s="22">
        <v>3</v>
      </c>
      <c r="EH8" s="22">
        <v>2</v>
      </c>
      <c r="EI8" s="22">
        <v>20</v>
      </c>
      <c r="EJ8" s="22"/>
      <c r="EK8" s="22"/>
      <c r="EL8" s="22"/>
      <c r="EM8" s="22"/>
      <c r="EN8" s="22"/>
      <c r="EO8" s="22"/>
      <c r="EP8" s="83">
        <v>33</v>
      </c>
      <c r="EQ8" s="83">
        <v>5</v>
      </c>
      <c r="ER8" s="83">
        <v>4</v>
      </c>
      <c r="ES8" s="83">
        <v>1</v>
      </c>
      <c r="ET8" s="83">
        <v>3</v>
      </c>
      <c r="EU8" s="83">
        <v>0</v>
      </c>
      <c r="EV8" s="83">
        <v>0</v>
      </c>
      <c r="EW8" s="83"/>
      <c r="EX8" s="83"/>
      <c r="EY8" s="83"/>
      <c r="EZ8" s="83"/>
      <c r="FA8" s="83"/>
      <c r="FB8" s="83"/>
      <c r="FC8" s="67">
        <v>550</v>
      </c>
      <c r="FD8" s="67">
        <v>110</v>
      </c>
      <c r="FE8" s="67">
        <v>75</v>
      </c>
      <c r="FF8" s="67">
        <v>20</v>
      </c>
      <c r="FG8" s="67">
        <v>20</v>
      </c>
      <c r="FH8" s="67">
        <v>5</v>
      </c>
      <c r="FI8" s="67">
        <v>150</v>
      </c>
      <c r="FJ8" s="67"/>
      <c r="FK8" s="67"/>
      <c r="FL8" s="67"/>
      <c r="FM8" s="67"/>
      <c r="FN8" s="67"/>
      <c r="FO8" s="67"/>
    </row>
    <row r="9" spans="1:171" x14ac:dyDescent="0.2">
      <c r="A9" s="48">
        <v>8</v>
      </c>
      <c r="B9" s="46" t="s">
        <v>27</v>
      </c>
      <c r="C9" s="22">
        <v>684</v>
      </c>
      <c r="D9" s="22">
        <v>60.1</v>
      </c>
      <c r="E9" s="22">
        <v>1.59</v>
      </c>
      <c r="F9" s="22">
        <v>8.1</v>
      </c>
      <c r="G9" s="28">
        <v>285</v>
      </c>
      <c r="H9" s="28">
        <v>26</v>
      </c>
      <c r="I9" s="28"/>
      <c r="J9" s="28">
        <v>29</v>
      </c>
      <c r="K9" s="28">
        <v>26</v>
      </c>
      <c r="L9" s="22">
        <v>29</v>
      </c>
      <c r="M9" s="22">
        <v>22</v>
      </c>
      <c r="N9" s="22"/>
      <c r="O9" s="22">
        <v>24</v>
      </c>
      <c r="P9" s="22">
        <v>709</v>
      </c>
      <c r="Q9" s="22">
        <v>63.5</v>
      </c>
      <c r="R9" s="22">
        <v>1.56</v>
      </c>
      <c r="S9" s="22">
        <v>7.9</v>
      </c>
      <c r="T9" s="28">
        <v>311</v>
      </c>
      <c r="U9" s="22">
        <v>26</v>
      </c>
      <c r="V9" s="22"/>
      <c r="W9" s="22">
        <v>25</v>
      </c>
      <c r="X9" s="22">
        <v>23</v>
      </c>
      <c r="Y9" s="22">
        <v>30</v>
      </c>
      <c r="Z9" s="22">
        <v>24</v>
      </c>
      <c r="AA9" s="22"/>
      <c r="AB9" s="22">
        <v>28</v>
      </c>
      <c r="AC9" s="22">
        <v>645</v>
      </c>
      <c r="AD9" s="22">
        <v>65.5</v>
      </c>
      <c r="AE9" s="22">
        <v>1.63</v>
      </c>
      <c r="AF9" s="22">
        <v>8.3000000000000007</v>
      </c>
      <c r="AG9" s="22">
        <v>281</v>
      </c>
      <c r="AH9" s="22">
        <v>24</v>
      </c>
      <c r="AI9" s="22"/>
      <c r="AJ9" s="22">
        <v>23</v>
      </c>
      <c r="AK9" s="22">
        <v>23</v>
      </c>
      <c r="AL9" s="22">
        <v>29</v>
      </c>
      <c r="AM9" s="22">
        <v>21</v>
      </c>
      <c r="AN9" s="22"/>
      <c r="AO9" s="22">
        <v>22</v>
      </c>
      <c r="AP9" s="22">
        <v>740</v>
      </c>
      <c r="AQ9" s="22">
        <v>63.1</v>
      </c>
      <c r="AR9" s="22">
        <v>1.93</v>
      </c>
      <c r="AS9" s="22">
        <v>7.81</v>
      </c>
      <c r="AT9" s="22">
        <v>213</v>
      </c>
      <c r="AU9" s="22">
        <v>23</v>
      </c>
      <c r="AV9" s="22"/>
      <c r="AW9" s="22">
        <v>26</v>
      </c>
      <c r="AX9" s="22">
        <v>27</v>
      </c>
      <c r="AY9" s="22">
        <v>20</v>
      </c>
      <c r="AZ9" s="22">
        <v>20</v>
      </c>
      <c r="BA9" s="22">
        <v>20</v>
      </c>
      <c r="BB9" s="22">
        <v>4</v>
      </c>
      <c r="BC9" s="22">
        <v>641</v>
      </c>
      <c r="BD9" s="22">
        <v>61.6</v>
      </c>
      <c r="BE9" s="22">
        <v>1.85</v>
      </c>
      <c r="BF9" s="22">
        <v>7.8</v>
      </c>
      <c r="BG9" s="22">
        <v>182</v>
      </c>
      <c r="BH9" s="22">
        <v>19</v>
      </c>
      <c r="BI9" s="22"/>
      <c r="BJ9" s="22">
        <v>26</v>
      </c>
      <c r="BK9" s="22">
        <v>25</v>
      </c>
      <c r="BL9" s="22">
        <v>16</v>
      </c>
      <c r="BM9" s="22">
        <v>20</v>
      </c>
      <c r="BN9" s="22">
        <v>18</v>
      </c>
      <c r="BO9" s="22">
        <v>6</v>
      </c>
      <c r="BP9" s="22">
        <v>705</v>
      </c>
      <c r="BQ9" s="22">
        <v>64.900000000000006</v>
      </c>
      <c r="BR9" s="22">
        <v>1.83</v>
      </c>
      <c r="BS9" s="22">
        <v>8.57</v>
      </c>
      <c r="BT9" s="22">
        <v>233</v>
      </c>
      <c r="BU9" s="22">
        <v>20</v>
      </c>
      <c r="BV9" s="22"/>
      <c r="BW9" s="22">
        <v>25</v>
      </c>
      <c r="BX9" s="22">
        <v>21</v>
      </c>
      <c r="BY9" s="22">
        <v>20</v>
      </c>
      <c r="BZ9" s="22">
        <v>24</v>
      </c>
      <c r="CA9" s="22">
        <v>20</v>
      </c>
      <c r="CB9" s="22">
        <v>7</v>
      </c>
      <c r="CC9" s="22">
        <v>709</v>
      </c>
      <c r="CD9" s="22">
        <v>63.6</v>
      </c>
      <c r="CE9" s="22">
        <v>1.95</v>
      </c>
      <c r="CF9" s="22">
        <v>8.34</v>
      </c>
      <c r="CG9" s="22">
        <v>212</v>
      </c>
      <c r="CH9" s="22">
        <v>20</v>
      </c>
      <c r="CI9" s="22"/>
      <c r="CJ9" s="22">
        <v>25</v>
      </c>
      <c r="CK9" s="22">
        <v>24</v>
      </c>
      <c r="CL9" s="22">
        <v>20</v>
      </c>
      <c r="CM9" s="22">
        <v>22</v>
      </c>
      <c r="CN9" s="22">
        <v>21</v>
      </c>
      <c r="CO9" s="22">
        <v>5</v>
      </c>
      <c r="CP9" s="22">
        <v>682</v>
      </c>
      <c r="CQ9" s="22">
        <v>61.2</v>
      </c>
      <c r="CR9" s="22">
        <v>1.94</v>
      </c>
      <c r="CS9" s="22">
        <v>9.1</v>
      </c>
      <c r="CT9" s="22">
        <v>202</v>
      </c>
      <c r="CU9" s="22">
        <v>22</v>
      </c>
      <c r="CV9" s="22"/>
      <c r="CW9" s="22">
        <v>28</v>
      </c>
      <c r="CX9" s="22">
        <v>25</v>
      </c>
      <c r="CY9" s="22">
        <v>23</v>
      </c>
      <c r="CZ9" s="22">
        <v>26</v>
      </c>
      <c r="DA9" s="22">
        <v>22</v>
      </c>
      <c r="DB9" s="22">
        <v>5</v>
      </c>
      <c r="DC9" s="22">
        <v>752</v>
      </c>
      <c r="DD9" s="22">
        <v>61.9</v>
      </c>
      <c r="DE9" s="22">
        <v>1.69</v>
      </c>
      <c r="DF9" s="22">
        <v>8.1</v>
      </c>
      <c r="DG9" s="22">
        <v>252</v>
      </c>
      <c r="DH9" s="22">
        <v>23</v>
      </c>
      <c r="DI9" s="22"/>
      <c r="DJ9" s="22">
        <v>30</v>
      </c>
      <c r="DK9" s="22">
        <v>27</v>
      </c>
      <c r="DL9" s="22">
        <v>21</v>
      </c>
      <c r="DM9" s="22">
        <v>25</v>
      </c>
      <c r="DN9" s="22">
        <v>26</v>
      </c>
      <c r="DO9" s="22">
        <v>6</v>
      </c>
      <c r="DP9" s="22">
        <v>756</v>
      </c>
      <c r="DQ9" s="22">
        <v>65.89</v>
      </c>
      <c r="DR9" s="22">
        <v>1.63</v>
      </c>
      <c r="DS9" s="22">
        <v>8.3000000000000007</v>
      </c>
      <c r="DT9" s="22">
        <v>264</v>
      </c>
      <c r="DU9" s="22">
        <v>22</v>
      </c>
      <c r="DW9" s="22">
        <v>29</v>
      </c>
      <c r="DX9" s="22">
        <v>26</v>
      </c>
      <c r="DY9" s="22">
        <v>24</v>
      </c>
      <c r="DZ9" s="22">
        <v>23</v>
      </c>
      <c r="EA9" s="22">
        <v>20</v>
      </c>
      <c r="EB9" s="22">
        <v>8</v>
      </c>
      <c r="EC9" s="22">
        <v>812</v>
      </c>
      <c r="ED9" s="22">
        <v>61.7</v>
      </c>
      <c r="EE9" s="22">
        <v>1.58</v>
      </c>
      <c r="EF9" s="22">
        <v>8.07</v>
      </c>
      <c r="EG9" s="22">
        <v>258</v>
      </c>
      <c r="EH9" s="22">
        <v>23</v>
      </c>
      <c r="EI9" s="22"/>
      <c r="EJ9" s="22">
        <v>32</v>
      </c>
      <c r="EK9" s="22">
        <v>29</v>
      </c>
      <c r="EL9" s="22">
        <v>22</v>
      </c>
      <c r="EM9" s="22">
        <v>26</v>
      </c>
      <c r="EN9" s="22">
        <v>24</v>
      </c>
      <c r="EO9" s="22">
        <v>7</v>
      </c>
      <c r="EP9" s="86">
        <v>784</v>
      </c>
      <c r="EQ9" s="86">
        <v>58.4</v>
      </c>
      <c r="ER9" s="86">
        <v>1.63</v>
      </c>
      <c r="ES9" s="86">
        <v>8.1999999999999993</v>
      </c>
      <c r="ET9" s="86">
        <v>230</v>
      </c>
      <c r="EU9" s="86">
        <v>23</v>
      </c>
      <c r="EV9" s="86"/>
      <c r="EW9" s="86">
        <v>29</v>
      </c>
      <c r="EX9" s="86">
        <v>26</v>
      </c>
      <c r="EY9" s="86">
        <v>18</v>
      </c>
      <c r="EZ9" s="86">
        <v>22</v>
      </c>
      <c r="FA9" s="86">
        <v>16</v>
      </c>
      <c r="FB9" s="86">
        <v>25</v>
      </c>
      <c r="FC9" s="67">
        <v>8400</v>
      </c>
      <c r="FD9" s="67">
        <v>57</v>
      </c>
      <c r="FE9" s="67">
        <v>1.8</v>
      </c>
      <c r="FF9" s="67">
        <v>8</v>
      </c>
      <c r="FG9" s="67">
        <v>2180</v>
      </c>
      <c r="FH9" s="67">
        <v>25</v>
      </c>
      <c r="FI9" s="67"/>
      <c r="FJ9" s="67">
        <v>27</v>
      </c>
      <c r="FK9" s="67">
        <v>25</v>
      </c>
      <c r="FL9" s="67">
        <v>28</v>
      </c>
      <c r="FM9" s="67">
        <v>22</v>
      </c>
      <c r="FN9" s="67">
        <v>23</v>
      </c>
      <c r="FO9" s="67"/>
    </row>
    <row r="10" spans="1:171" x14ac:dyDescent="0.2">
      <c r="A10" s="48">
        <v>9</v>
      </c>
      <c r="B10" s="46" t="s">
        <v>75</v>
      </c>
      <c r="C10" s="22">
        <v>4</v>
      </c>
      <c r="D10" s="22">
        <v>27</v>
      </c>
      <c r="E10" s="22">
        <v>26</v>
      </c>
      <c r="F10" s="22">
        <v>13</v>
      </c>
      <c r="G10" s="28">
        <v>54</v>
      </c>
      <c r="H10" s="28">
        <v>90</v>
      </c>
      <c r="I10" s="28">
        <v>79</v>
      </c>
      <c r="J10" s="28">
        <v>100</v>
      </c>
      <c r="K10" s="28">
        <v>15</v>
      </c>
      <c r="L10" s="22">
        <v>24</v>
      </c>
      <c r="M10" s="22"/>
      <c r="N10" s="22"/>
      <c r="O10" s="22"/>
      <c r="P10" s="22">
        <v>3</v>
      </c>
      <c r="Q10" s="22">
        <v>45</v>
      </c>
      <c r="R10" s="22">
        <v>32</v>
      </c>
      <c r="S10" s="22">
        <v>18</v>
      </c>
      <c r="T10" s="28">
        <v>71</v>
      </c>
      <c r="U10" s="22">
        <v>80</v>
      </c>
      <c r="V10" s="22">
        <v>92</v>
      </c>
      <c r="W10" s="22">
        <v>100</v>
      </c>
      <c r="X10" s="22">
        <v>21</v>
      </c>
      <c r="Y10" s="22">
        <v>15</v>
      </c>
      <c r="Z10" s="22"/>
      <c r="AA10" s="22"/>
      <c r="AB10" s="22"/>
      <c r="AC10" s="22">
        <v>19</v>
      </c>
      <c r="AD10" s="22">
        <v>63</v>
      </c>
      <c r="AE10" s="22">
        <v>20</v>
      </c>
      <c r="AF10" s="22">
        <v>20</v>
      </c>
      <c r="AG10" s="22">
        <v>65</v>
      </c>
      <c r="AH10" s="22">
        <v>100</v>
      </c>
      <c r="AI10" s="22">
        <v>85</v>
      </c>
      <c r="AJ10" s="22">
        <v>100</v>
      </c>
      <c r="AK10" s="22">
        <v>10</v>
      </c>
      <c r="AL10" s="22">
        <v>28</v>
      </c>
      <c r="AM10" s="22"/>
      <c r="AN10" s="22"/>
      <c r="AO10" s="22"/>
      <c r="AP10" s="22">
        <v>12</v>
      </c>
      <c r="AQ10" s="22">
        <v>62</v>
      </c>
      <c r="AR10" s="22">
        <v>24</v>
      </c>
      <c r="AS10" s="22">
        <v>15</v>
      </c>
      <c r="AT10" s="22">
        <v>80</v>
      </c>
      <c r="AU10" s="22">
        <v>100</v>
      </c>
      <c r="AV10" s="22">
        <v>85</v>
      </c>
      <c r="AW10" s="22">
        <v>100</v>
      </c>
      <c r="AX10" s="22">
        <v>17</v>
      </c>
      <c r="AY10" s="22">
        <v>26</v>
      </c>
      <c r="AZ10" s="22"/>
      <c r="BA10" s="22"/>
      <c r="BB10" s="22"/>
      <c r="BC10" s="22">
        <v>10</v>
      </c>
      <c r="BD10" s="22">
        <v>34</v>
      </c>
      <c r="BE10" s="22">
        <v>20</v>
      </c>
      <c r="BF10" s="22">
        <v>41</v>
      </c>
      <c r="BG10" s="22">
        <v>100</v>
      </c>
      <c r="BH10" s="22">
        <v>100</v>
      </c>
      <c r="BI10" s="22">
        <v>85</v>
      </c>
      <c r="BJ10" s="22">
        <v>100</v>
      </c>
      <c r="BK10" s="22">
        <v>14</v>
      </c>
      <c r="BL10" s="22">
        <v>3</v>
      </c>
      <c r="BM10" s="22"/>
      <c r="BN10" s="22"/>
      <c r="BO10" s="22"/>
      <c r="BP10" s="22">
        <v>20</v>
      </c>
      <c r="BQ10" s="22">
        <v>76</v>
      </c>
      <c r="BR10" s="22">
        <v>15</v>
      </c>
      <c r="BS10" s="22">
        <v>27</v>
      </c>
      <c r="BT10" s="22">
        <v>41</v>
      </c>
      <c r="BU10" s="22">
        <v>100</v>
      </c>
      <c r="BV10" s="22">
        <v>95</v>
      </c>
      <c r="BW10" s="22">
        <v>80</v>
      </c>
      <c r="BX10" s="22">
        <v>16</v>
      </c>
      <c r="BY10" s="22">
        <v>4</v>
      </c>
      <c r="BZ10" s="22"/>
      <c r="CA10" s="22"/>
      <c r="CB10" s="22"/>
      <c r="CC10" s="22">
        <v>20</v>
      </c>
      <c r="CD10" s="22">
        <v>37</v>
      </c>
      <c r="CE10" s="22">
        <v>33</v>
      </c>
      <c r="CF10" s="22">
        <v>14</v>
      </c>
      <c r="CG10" s="22">
        <v>54</v>
      </c>
      <c r="CH10" s="22">
        <v>100</v>
      </c>
      <c r="CI10" s="22">
        <v>86</v>
      </c>
      <c r="CJ10" s="22">
        <v>83</v>
      </c>
      <c r="CK10" s="22">
        <v>17</v>
      </c>
      <c r="CL10" s="22">
        <v>13</v>
      </c>
      <c r="CM10" s="22"/>
      <c r="CN10" s="22"/>
      <c r="CO10" s="22"/>
      <c r="CP10" s="22">
        <v>16</v>
      </c>
      <c r="CQ10" s="22">
        <v>60</v>
      </c>
      <c r="CR10" s="22">
        <v>22</v>
      </c>
      <c r="CS10" s="22">
        <v>11</v>
      </c>
      <c r="CT10" s="22">
        <v>60</v>
      </c>
      <c r="CU10" s="22">
        <v>100</v>
      </c>
      <c r="CV10" s="22">
        <v>92</v>
      </c>
      <c r="CW10" s="22">
        <v>100</v>
      </c>
      <c r="CX10" s="22">
        <v>16</v>
      </c>
      <c r="CY10" s="22">
        <v>20</v>
      </c>
      <c r="CZ10" s="22"/>
      <c r="DA10" s="22"/>
      <c r="DB10" s="22"/>
      <c r="DC10" s="22">
        <v>9</v>
      </c>
      <c r="DD10" s="22">
        <v>63</v>
      </c>
      <c r="DE10" s="22">
        <v>13</v>
      </c>
      <c r="DF10" s="22">
        <v>32</v>
      </c>
      <c r="DG10" s="22">
        <v>78</v>
      </c>
      <c r="DH10" s="22">
        <v>100</v>
      </c>
      <c r="DI10" s="22">
        <v>132</v>
      </c>
      <c r="DJ10" s="22">
        <v>100</v>
      </c>
      <c r="DK10" s="22">
        <v>16</v>
      </c>
      <c r="DL10" s="22">
        <v>13</v>
      </c>
      <c r="DM10" s="22"/>
      <c r="DN10" s="22"/>
      <c r="DO10" s="22"/>
      <c r="DP10" s="22">
        <v>20</v>
      </c>
      <c r="DQ10" s="22">
        <v>38</v>
      </c>
      <c r="DR10" s="22">
        <v>24</v>
      </c>
      <c r="DS10" s="22">
        <v>39</v>
      </c>
      <c r="DT10" s="22">
        <v>71</v>
      </c>
      <c r="DU10" s="22">
        <v>100</v>
      </c>
      <c r="DV10" s="22">
        <v>149</v>
      </c>
      <c r="DW10" s="22">
        <v>100</v>
      </c>
      <c r="DX10" s="22">
        <v>27</v>
      </c>
      <c r="DY10" s="22">
        <v>13</v>
      </c>
      <c r="EC10" s="22">
        <v>12</v>
      </c>
      <c r="ED10" s="22">
        <v>122</v>
      </c>
      <c r="EE10" s="22">
        <v>18</v>
      </c>
      <c r="EF10" s="22">
        <v>24</v>
      </c>
      <c r="EG10" s="22">
        <v>95</v>
      </c>
      <c r="EH10" s="22">
        <v>83</v>
      </c>
      <c r="EI10" s="22">
        <v>117</v>
      </c>
      <c r="EJ10" s="22">
        <v>100</v>
      </c>
      <c r="EK10" s="22">
        <v>22</v>
      </c>
      <c r="EL10" s="22">
        <v>18</v>
      </c>
      <c r="EM10" s="22"/>
      <c r="EN10" s="22"/>
      <c r="EO10" s="22"/>
      <c r="EP10" s="83">
        <v>16</v>
      </c>
      <c r="EQ10" s="83">
        <v>94</v>
      </c>
      <c r="ER10" s="83">
        <v>31</v>
      </c>
      <c r="ES10" s="83">
        <v>20</v>
      </c>
      <c r="ET10" s="83">
        <v>75</v>
      </c>
      <c r="EU10" s="83">
        <v>100</v>
      </c>
      <c r="EV10" s="83">
        <v>108</v>
      </c>
      <c r="EW10" s="83">
        <v>100</v>
      </c>
      <c r="EX10" s="83">
        <v>21</v>
      </c>
      <c r="EY10" s="83">
        <v>25</v>
      </c>
      <c r="EZ10" s="83"/>
      <c r="FA10" s="83"/>
      <c r="FB10" s="83"/>
      <c r="FC10" s="67">
        <v>165</v>
      </c>
      <c r="FD10" s="67">
        <v>800</v>
      </c>
      <c r="FE10" s="67">
        <v>275</v>
      </c>
      <c r="FF10" s="67">
        <v>260</v>
      </c>
      <c r="FG10" s="67">
        <v>85</v>
      </c>
      <c r="FH10" s="67">
        <v>95</v>
      </c>
      <c r="FI10" s="67">
        <v>775</v>
      </c>
      <c r="FJ10" s="67">
        <v>99</v>
      </c>
      <c r="FK10" s="67">
        <v>225</v>
      </c>
      <c r="FL10" s="67">
        <v>295</v>
      </c>
      <c r="FM10" s="67"/>
      <c r="FN10" s="67"/>
      <c r="FO10" s="67"/>
    </row>
    <row r="11" spans="1:171" x14ac:dyDescent="0.2">
      <c r="A11" s="48">
        <v>10</v>
      </c>
      <c r="B11" s="46" t="s">
        <v>235</v>
      </c>
      <c r="C11" s="22">
        <v>183</v>
      </c>
      <c r="D11" s="22">
        <v>8.3000000000000007</v>
      </c>
      <c r="E11" s="22">
        <v>244</v>
      </c>
      <c r="F11" s="22">
        <v>28</v>
      </c>
      <c r="G11" s="28"/>
      <c r="H11" s="28"/>
      <c r="I11" s="28"/>
      <c r="J11" s="28"/>
      <c r="K11" s="28"/>
      <c r="L11" s="22"/>
      <c r="M11" s="22"/>
      <c r="N11" s="22"/>
      <c r="O11" s="22"/>
      <c r="P11" s="22">
        <v>204</v>
      </c>
      <c r="Q11" s="22">
        <v>9.3000000000000007</v>
      </c>
      <c r="R11" s="22">
        <v>347</v>
      </c>
      <c r="S11" s="22">
        <v>52</v>
      </c>
      <c r="T11" s="28"/>
      <c r="U11" s="22"/>
      <c r="V11" s="22"/>
      <c r="W11" s="22"/>
      <c r="X11" s="22"/>
      <c r="Y11" s="22"/>
      <c r="Z11" s="22"/>
      <c r="AA11" s="22"/>
      <c r="AB11" s="22"/>
      <c r="AC11" s="22">
        <v>168</v>
      </c>
      <c r="AD11" s="22">
        <v>8.4</v>
      </c>
      <c r="AE11" s="22">
        <v>247</v>
      </c>
      <c r="AF11" s="22">
        <v>19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>
        <v>141</v>
      </c>
      <c r="AQ11" s="22">
        <v>6.1</v>
      </c>
      <c r="AR11" s="22">
        <v>339</v>
      </c>
      <c r="AS11" s="22">
        <v>3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>
        <v>139</v>
      </c>
      <c r="BD11" s="22">
        <v>7.7</v>
      </c>
      <c r="BE11" s="22">
        <v>227</v>
      </c>
      <c r="BF11" s="22">
        <v>9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>
        <v>141</v>
      </c>
      <c r="BQ11" s="22">
        <v>7.4</v>
      </c>
      <c r="BR11" s="22">
        <v>144</v>
      </c>
      <c r="BS11" s="22">
        <v>7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146</v>
      </c>
      <c r="CD11" s="22">
        <v>6.9</v>
      </c>
      <c r="CE11" s="22">
        <v>301</v>
      </c>
      <c r="CF11" s="22">
        <v>19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>
        <v>143</v>
      </c>
      <c r="CQ11" s="22">
        <v>8.1999999999999993</v>
      </c>
      <c r="CR11" s="22">
        <v>277</v>
      </c>
      <c r="CS11" s="22">
        <v>91</v>
      </c>
      <c r="CT11" s="22"/>
      <c r="CU11" s="22"/>
      <c r="CV11" s="22"/>
      <c r="CW11" s="22"/>
      <c r="CX11" s="22"/>
      <c r="CY11" s="22"/>
      <c r="CZ11" s="22"/>
      <c r="DA11" s="22"/>
      <c r="DB11" s="22"/>
      <c r="DC11" s="22">
        <v>147</v>
      </c>
      <c r="DD11">
        <v>7</v>
      </c>
      <c r="DE11" s="22">
        <v>241</v>
      </c>
      <c r="DF11" s="22">
        <v>8</v>
      </c>
      <c r="DG11" s="22"/>
      <c r="DH11" s="22"/>
      <c r="DI11" s="22"/>
      <c r="DJ11" s="22"/>
      <c r="DK11" s="22"/>
      <c r="DL11" s="22"/>
      <c r="DM11" s="22"/>
      <c r="DN11" s="22"/>
      <c r="DO11" s="22"/>
      <c r="DP11" s="22">
        <v>179</v>
      </c>
      <c r="DQ11">
        <v>8.5</v>
      </c>
      <c r="DR11">
        <v>311</v>
      </c>
      <c r="DS11" s="22">
        <v>10</v>
      </c>
      <c r="DT11" s="22"/>
      <c r="DU11" s="22"/>
      <c r="DV11" s="22"/>
      <c r="EC11" s="22">
        <v>165</v>
      </c>
      <c r="ED11" s="22">
        <v>7.9</v>
      </c>
      <c r="EE11" s="22">
        <v>295</v>
      </c>
      <c r="EF11" s="22">
        <v>0</v>
      </c>
      <c r="EG11" s="22"/>
      <c r="EH11" s="22"/>
      <c r="EI11" s="22"/>
      <c r="EJ11" s="22"/>
      <c r="EK11" s="22"/>
      <c r="EL11" s="22"/>
      <c r="EM11" s="22"/>
      <c r="EN11" s="22"/>
      <c r="EO11" s="22"/>
      <c r="EP11" s="83">
        <v>164</v>
      </c>
      <c r="EQ11" s="83">
        <v>7.8</v>
      </c>
      <c r="ER11" s="83">
        <v>236</v>
      </c>
      <c r="ES11" s="83">
        <v>15</v>
      </c>
      <c r="ET11" s="83"/>
      <c r="EU11" s="83"/>
      <c r="EV11" s="83"/>
      <c r="EW11" s="83"/>
      <c r="EX11" s="83"/>
      <c r="EY11" s="83"/>
      <c r="EZ11" s="83"/>
      <c r="FA11" s="83"/>
      <c r="FB11" s="83"/>
      <c r="FC11" s="67">
        <v>2030</v>
      </c>
      <c r="FD11" s="67">
        <v>8.1</v>
      </c>
      <c r="FE11" s="67">
        <v>2830</v>
      </c>
      <c r="FF11" s="67">
        <v>250</v>
      </c>
      <c r="FG11" s="67"/>
      <c r="FH11" s="67"/>
      <c r="FI11" s="67"/>
      <c r="FJ11" s="67"/>
      <c r="FK11" s="67"/>
      <c r="FL11" s="67"/>
      <c r="FM11" s="67"/>
      <c r="FN11" s="67"/>
      <c r="FO11" s="67"/>
    </row>
    <row r="12" spans="1:171" x14ac:dyDescent="0.2">
      <c r="A12" s="44">
        <v>11</v>
      </c>
      <c r="B12" s="46" t="s">
        <v>7</v>
      </c>
      <c r="C12" s="22">
        <v>142</v>
      </c>
      <c r="D12" s="22">
        <v>368</v>
      </c>
      <c r="E12" s="22">
        <v>16.7</v>
      </c>
      <c r="F12" s="22">
        <v>1</v>
      </c>
      <c r="G12" s="28">
        <v>39</v>
      </c>
      <c r="H12" s="28">
        <v>0</v>
      </c>
      <c r="I12" s="28">
        <v>22</v>
      </c>
      <c r="J12" s="28">
        <v>79</v>
      </c>
      <c r="K12" s="28">
        <v>637</v>
      </c>
      <c r="L12" s="22">
        <v>27.6</v>
      </c>
      <c r="M12" s="22">
        <v>6</v>
      </c>
      <c r="N12" s="22">
        <v>18</v>
      </c>
      <c r="O12" s="22">
        <v>569</v>
      </c>
      <c r="P12" s="22">
        <v>134</v>
      </c>
      <c r="Q12" s="22">
        <v>402</v>
      </c>
      <c r="R12" s="22">
        <v>18.3</v>
      </c>
      <c r="S12" s="22">
        <v>1</v>
      </c>
      <c r="T12" s="28">
        <v>43</v>
      </c>
      <c r="U12" s="22">
        <v>0</v>
      </c>
      <c r="V12" s="22">
        <v>48</v>
      </c>
      <c r="W12" s="22">
        <v>70</v>
      </c>
      <c r="X12" s="22">
        <v>612</v>
      </c>
      <c r="Y12" s="22">
        <v>27.4</v>
      </c>
      <c r="Z12" s="22">
        <v>10</v>
      </c>
      <c r="AA12" s="22">
        <v>21</v>
      </c>
      <c r="AB12" s="22">
        <v>629</v>
      </c>
      <c r="AC12" s="22">
        <v>128</v>
      </c>
      <c r="AD12" s="22">
        <v>329</v>
      </c>
      <c r="AE12" s="22">
        <v>16.7</v>
      </c>
      <c r="AF12" s="22">
        <v>0</v>
      </c>
      <c r="AG12" s="22">
        <v>21</v>
      </c>
      <c r="AH12" s="22">
        <v>0</v>
      </c>
      <c r="AI12" s="22">
        <v>22</v>
      </c>
      <c r="AJ12" s="22">
        <v>67</v>
      </c>
      <c r="AK12" s="22">
        <v>626</v>
      </c>
      <c r="AL12" s="22">
        <v>29.5</v>
      </c>
      <c r="AM12" s="22">
        <v>7</v>
      </c>
      <c r="AN12" s="22">
        <v>13</v>
      </c>
      <c r="AO12" s="22">
        <v>494</v>
      </c>
      <c r="AP12" s="22">
        <v>240</v>
      </c>
      <c r="AQ12" s="22">
        <v>478</v>
      </c>
      <c r="AR12" s="22">
        <v>21.1</v>
      </c>
      <c r="AS12" s="22">
        <v>0</v>
      </c>
      <c r="AT12" s="22">
        <v>35</v>
      </c>
      <c r="AU12" s="22">
        <v>1</v>
      </c>
      <c r="AV12" s="22">
        <v>28</v>
      </c>
      <c r="AW12" s="22">
        <v>77</v>
      </c>
      <c r="AX12" s="22">
        <v>645</v>
      </c>
      <c r="AY12" s="22">
        <v>30.7</v>
      </c>
      <c r="AZ12" s="22">
        <v>11</v>
      </c>
      <c r="BA12" s="22">
        <v>14</v>
      </c>
      <c r="BB12" s="22">
        <v>486</v>
      </c>
      <c r="BC12" s="22">
        <v>173</v>
      </c>
      <c r="BD12" s="22">
        <v>358</v>
      </c>
      <c r="BE12" s="22">
        <v>20</v>
      </c>
      <c r="BF12" s="22">
        <v>0</v>
      </c>
      <c r="BG12" s="22">
        <v>26</v>
      </c>
      <c r="BH12" s="22">
        <v>1</v>
      </c>
      <c r="BI12" s="22">
        <v>25</v>
      </c>
      <c r="BJ12" s="22">
        <v>64</v>
      </c>
      <c r="BK12" s="22">
        <v>493</v>
      </c>
      <c r="BL12" s="22">
        <v>30.9</v>
      </c>
      <c r="BM12" s="22">
        <v>5</v>
      </c>
      <c r="BN12" s="22">
        <v>14</v>
      </c>
      <c r="BO12" s="22">
        <v>407</v>
      </c>
      <c r="BP12" s="22">
        <v>179</v>
      </c>
      <c r="BQ12" s="22">
        <v>402</v>
      </c>
      <c r="BR12" s="22">
        <v>21.4</v>
      </c>
      <c r="BS12" s="22">
        <v>2</v>
      </c>
      <c r="BT12" s="22">
        <v>30</v>
      </c>
      <c r="BU12" s="22">
        <v>1</v>
      </c>
      <c r="BV12" s="22">
        <v>28</v>
      </c>
      <c r="BW12" s="22">
        <v>70</v>
      </c>
      <c r="BX12" s="22">
        <v>634</v>
      </c>
      <c r="BY12" s="22">
        <v>29.8</v>
      </c>
      <c r="BZ12" s="22">
        <v>6</v>
      </c>
      <c r="CA12" s="22">
        <v>15</v>
      </c>
      <c r="CB12" s="22">
        <v>423</v>
      </c>
      <c r="CC12" s="22">
        <v>199</v>
      </c>
      <c r="CD12" s="22">
        <v>472</v>
      </c>
      <c r="CE12" s="22">
        <v>22.6</v>
      </c>
      <c r="CF12" s="22">
        <v>0</v>
      </c>
      <c r="CG12" s="22">
        <v>39</v>
      </c>
      <c r="CH12" s="22">
        <v>1</v>
      </c>
      <c r="CI12" s="22">
        <v>23</v>
      </c>
      <c r="CJ12" s="22">
        <v>78</v>
      </c>
      <c r="CK12" s="22">
        <v>674</v>
      </c>
      <c r="CL12" s="22">
        <v>30.4</v>
      </c>
      <c r="CM12" s="22">
        <v>10</v>
      </c>
      <c r="CN12" s="22">
        <v>15</v>
      </c>
      <c r="CO12" s="22">
        <v>514</v>
      </c>
      <c r="CP12" s="22">
        <v>142</v>
      </c>
      <c r="CQ12" s="22">
        <v>352</v>
      </c>
      <c r="CR12" s="22">
        <v>20.2</v>
      </c>
      <c r="CS12" s="22">
        <v>0</v>
      </c>
      <c r="CT12" s="22">
        <v>17</v>
      </c>
      <c r="CU12" s="22">
        <v>0</v>
      </c>
      <c r="CV12" s="22">
        <v>8</v>
      </c>
      <c r="CW12" s="22">
        <v>65</v>
      </c>
      <c r="CX12" s="22">
        <v>549</v>
      </c>
      <c r="CY12" s="22">
        <v>34.9</v>
      </c>
      <c r="CZ12" s="22">
        <v>6</v>
      </c>
      <c r="DA12" s="22">
        <v>11</v>
      </c>
      <c r="DB12" s="22">
        <v>437</v>
      </c>
      <c r="DC12" s="22">
        <v>189</v>
      </c>
      <c r="DD12" s="22">
        <v>422</v>
      </c>
      <c r="DE12" s="22">
        <v>20.100000000000001</v>
      </c>
      <c r="DF12" s="22">
        <v>0</v>
      </c>
      <c r="DG12" s="22">
        <v>38</v>
      </c>
      <c r="DH12" s="22">
        <v>0</v>
      </c>
      <c r="DI12" s="22">
        <v>13</v>
      </c>
      <c r="DJ12" s="22">
        <v>74</v>
      </c>
      <c r="DK12" s="22">
        <v>575</v>
      </c>
      <c r="DL12" s="22">
        <v>33</v>
      </c>
      <c r="DM12" s="22">
        <v>12</v>
      </c>
      <c r="DN12" s="22">
        <v>18</v>
      </c>
      <c r="DO12" s="22">
        <v>551</v>
      </c>
      <c r="DP12" s="22">
        <v>182</v>
      </c>
      <c r="DQ12" s="22">
        <v>419</v>
      </c>
      <c r="DR12" s="22">
        <v>20</v>
      </c>
      <c r="DS12" s="22">
        <v>2</v>
      </c>
      <c r="DT12" s="22">
        <v>25</v>
      </c>
      <c r="DU12" s="22">
        <v>0</v>
      </c>
      <c r="DV12" s="22">
        <v>13</v>
      </c>
      <c r="DW12" s="22">
        <v>90</v>
      </c>
      <c r="DX12" s="22">
        <v>618</v>
      </c>
      <c r="DY12" s="22">
        <v>31.1</v>
      </c>
      <c r="DZ12" s="22">
        <v>14</v>
      </c>
      <c r="EA12" s="22">
        <v>24</v>
      </c>
      <c r="EB12" s="22">
        <v>502</v>
      </c>
      <c r="EC12" s="22">
        <v>204</v>
      </c>
      <c r="ED12" s="22">
        <v>445</v>
      </c>
      <c r="EE12" s="22">
        <v>20.8</v>
      </c>
      <c r="EF12" s="22">
        <v>0</v>
      </c>
      <c r="EG12" s="22">
        <v>36</v>
      </c>
      <c r="EH12" s="22">
        <v>0</v>
      </c>
      <c r="EI12" s="22">
        <v>12</v>
      </c>
      <c r="EJ12" s="22">
        <v>97</v>
      </c>
      <c r="EK12" s="22">
        <v>689</v>
      </c>
      <c r="EL12" s="22">
        <v>30</v>
      </c>
      <c r="EM12" s="22">
        <v>13</v>
      </c>
      <c r="EN12" s="22">
        <v>10</v>
      </c>
      <c r="EO12" s="22">
        <v>518</v>
      </c>
      <c r="EP12" s="86">
        <v>209</v>
      </c>
      <c r="EQ12" s="86">
        <v>434</v>
      </c>
      <c r="ER12" s="86">
        <v>20.7</v>
      </c>
      <c r="ES12" s="86">
        <v>3</v>
      </c>
      <c r="ET12" s="86">
        <v>47</v>
      </c>
      <c r="EU12" s="86">
        <v>0</v>
      </c>
      <c r="EV12" s="86">
        <v>20</v>
      </c>
      <c r="EW12" s="86">
        <v>68</v>
      </c>
      <c r="EX12" s="86">
        <v>567</v>
      </c>
      <c r="EY12" s="86">
        <v>28.7</v>
      </c>
      <c r="EZ12" s="86">
        <v>8</v>
      </c>
      <c r="FA12" s="86">
        <v>20</v>
      </c>
      <c r="FB12" s="86">
        <v>492</v>
      </c>
      <c r="FC12" s="67">
        <v>1660</v>
      </c>
      <c r="FD12" s="67">
        <v>4900</v>
      </c>
      <c r="FE12" s="67">
        <v>20.3</v>
      </c>
      <c r="FF12" s="67">
        <v>3</v>
      </c>
      <c r="FG12" s="67">
        <v>410</v>
      </c>
      <c r="FH12" s="67">
        <v>2</v>
      </c>
      <c r="FI12" s="67">
        <v>240</v>
      </c>
      <c r="FJ12" s="67">
        <v>1125</v>
      </c>
      <c r="FK12" s="67">
        <v>7650</v>
      </c>
      <c r="FL12" s="67">
        <v>25.7</v>
      </c>
      <c r="FM12" s="67">
        <v>95</v>
      </c>
      <c r="FN12" s="67">
        <v>220</v>
      </c>
      <c r="FO12" s="67">
        <v>5470</v>
      </c>
    </row>
    <row r="13" spans="1:171" x14ac:dyDescent="0.2">
      <c r="A13" s="44">
        <v>12</v>
      </c>
      <c r="B13" s="46" t="s">
        <v>475</v>
      </c>
      <c r="C13" s="22">
        <v>3</v>
      </c>
      <c r="D13" s="22">
        <v>8.5</v>
      </c>
      <c r="E13" s="22">
        <v>2</v>
      </c>
      <c r="F13" s="22">
        <v>5.6</v>
      </c>
      <c r="G13" s="28">
        <v>252</v>
      </c>
      <c r="H13" s="28">
        <v>1303</v>
      </c>
      <c r="I13" s="28"/>
      <c r="J13" s="28"/>
      <c r="K13" s="28"/>
      <c r="L13" s="22"/>
      <c r="M13" s="22"/>
      <c r="N13" s="22"/>
      <c r="O13" s="22"/>
      <c r="P13" s="22">
        <v>6</v>
      </c>
      <c r="Q13" s="22">
        <v>12.7</v>
      </c>
      <c r="R13" s="22">
        <v>3</v>
      </c>
      <c r="S13" s="22">
        <v>7.1</v>
      </c>
      <c r="T13" s="28">
        <v>526</v>
      </c>
      <c r="U13" s="22">
        <v>3177</v>
      </c>
      <c r="V13" s="22"/>
      <c r="W13" s="22"/>
      <c r="X13" s="22"/>
      <c r="Y13" s="22"/>
      <c r="Z13" s="22"/>
      <c r="AA13" s="22"/>
      <c r="AB13" s="22"/>
      <c r="AC13" s="22">
        <v>7</v>
      </c>
      <c r="AD13" s="22">
        <v>15.1</v>
      </c>
      <c r="AE13" s="22">
        <v>6</v>
      </c>
      <c r="AF13" s="22">
        <v>10.4</v>
      </c>
      <c r="AG13" s="22">
        <v>304</v>
      </c>
      <c r="AH13" s="22">
        <v>1649</v>
      </c>
      <c r="AI13" s="22"/>
      <c r="AJ13" s="22"/>
      <c r="AK13" s="22"/>
      <c r="AL13" s="22"/>
      <c r="AM13" s="22"/>
      <c r="AN13" s="22"/>
      <c r="AO13" s="22"/>
      <c r="AP13" s="22">
        <v>2</v>
      </c>
      <c r="AQ13" s="22">
        <v>12.7</v>
      </c>
      <c r="AR13" s="22">
        <v>1</v>
      </c>
      <c r="AS13" s="22">
        <v>8.5</v>
      </c>
      <c r="AT13" s="22">
        <v>105</v>
      </c>
      <c r="AU13" s="22">
        <v>1892</v>
      </c>
      <c r="AV13" s="22"/>
      <c r="AW13" s="22"/>
      <c r="AX13" s="22"/>
      <c r="AY13" s="22"/>
      <c r="AZ13" s="22"/>
      <c r="BA13" s="22"/>
      <c r="BB13" s="22"/>
      <c r="BC13" s="22">
        <v>4</v>
      </c>
      <c r="BD13" s="22">
        <v>12.4</v>
      </c>
      <c r="BE13" s="22">
        <v>2</v>
      </c>
      <c r="BF13" s="22">
        <v>7.9</v>
      </c>
      <c r="BG13" s="22">
        <v>180</v>
      </c>
      <c r="BH13" s="22">
        <v>1591</v>
      </c>
      <c r="BI13" s="22"/>
      <c r="BJ13" s="22"/>
      <c r="BK13" s="22"/>
      <c r="BL13" s="22"/>
      <c r="BM13" s="22"/>
      <c r="BN13" s="22"/>
      <c r="BO13" s="22"/>
      <c r="BP13" s="22">
        <v>7</v>
      </c>
      <c r="BQ13" s="22">
        <v>13.6</v>
      </c>
      <c r="BR13" s="22">
        <v>5</v>
      </c>
      <c r="BS13" s="22">
        <v>8.9</v>
      </c>
      <c r="BT13" s="22">
        <v>95</v>
      </c>
      <c r="BU13" s="22">
        <v>1500</v>
      </c>
      <c r="BV13" s="22"/>
      <c r="BW13" s="22"/>
      <c r="BX13" s="22"/>
      <c r="BY13" s="22"/>
      <c r="BZ13" s="22"/>
      <c r="CA13" s="22"/>
      <c r="CB13" s="22"/>
      <c r="CC13" s="22">
        <v>5</v>
      </c>
      <c r="CD13" s="22">
        <v>13.7</v>
      </c>
      <c r="CE13" s="22">
        <v>2</v>
      </c>
      <c r="CF13" s="22">
        <v>8.5</v>
      </c>
      <c r="CG13" s="22">
        <v>70</v>
      </c>
      <c r="CH13" s="22">
        <v>2024</v>
      </c>
      <c r="CI13" s="22"/>
      <c r="CJ13" s="22"/>
      <c r="CK13" s="22"/>
      <c r="CL13" s="22"/>
      <c r="CM13" s="22"/>
      <c r="CN13" s="22"/>
      <c r="CO13" s="22"/>
      <c r="CP13" s="22">
        <v>2</v>
      </c>
      <c r="CQ13" s="22">
        <v>12.7</v>
      </c>
      <c r="CR13" s="22">
        <v>2</v>
      </c>
      <c r="CS13" s="22">
        <v>8.1</v>
      </c>
      <c r="CT13" s="22">
        <v>88</v>
      </c>
      <c r="CU13" s="22">
        <v>1715</v>
      </c>
      <c r="CV13" s="22"/>
      <c r="CW13" s="22"/>
      <c r="CX13" s="22"/>
      <c r="CY13" s="22"/>
      <c r="CZ13" s="22"/>
      <c r="DA13" s="22"/>
      <c r="DB13" s="22"/>
      <c r="DC13" s="22">
        <v>2</v>
      </c>
      <c r="DD13" s="22">
        <v>11.9</v>
      </c>
      <c r="DE13" s="22">
        <v>2</v>
      </c>
      <c r="DF13" s="22">
        <v>7.8</v>
      </c>
      <c r="DG13" s="22">
        <v>210</v>
      </c>
      <c r="DH13" s="22">
        <v>2848</v>
      </c>
      <c r="DI13" s="22"/>
      <c r="DJ13" s="22"/>
      <c r="DK13" s="22"/>
      <c r="DL13" s="22"/>
      <c r="DM13" s="22"/>
      <c r="DN13" s="22"/>
      <c r="DO13" s="22"/>
      <c r="DP13" s="22">
        <v>2</v>
      </c>
      <c r="DQ13" s="22">
        <v>11.6</v>
      </c>
      <c r="DR13" s="22">
        <v>1</v>
      </c>
      <c r="DS13" s="22">
        <v>7.3</v>
      </c>
      <c r="DT13" s="22">
        <v>235</v>
      </c>
      <c r="DU13" s="22">
        <v>1782</v>
      </c>
      <c r="DV13" s="22"/>
      <c r="DW13" s="22"/>
      <c r="DX13" s="22"/>
      <c r="DY13" s="22"/>
      <c r="DZ13" s="22"/>
      <c r="EA13" s="22"/>
      <c r="EB13" s="22"/>
      <c r="EC13" s="22">
        <v>4</v>
      </c>
      <c r="ED13" s="22">
        <v>11.6</v>
      </c>
      <c r="EE13" s="22">
        <v>3</v>
      </c>
      <c r="EF13" s="22">
        <v>7.4</v>
      </c>
      <c r="EG13" s="22">
        <v>254</v>
      </c>
      <c r="EH13" s="22">
        <v>1497</v>
      </c>
      <c r="EI13" s="22"/>
      <c r="EJ13" s="22"/>
      <c r="EK13" s="22"/>
      <c r="EL13" s="22"/>
      <c r="EM13" s="22"/>
      <c r="EN13" s="22"/>
      <c r="EO13" s="22"/>
      <c r="EP13" s="22">
        <v>3</v>
      </c>
      <c r="EQ13" s="22">
        <v>11.3</v>
      </c>
      <c r="ER13" s="22">
        <v>2</v>
      </c>
      <c r="ES13" s="22">
        <v>7.3</v>
      </c>
      <c r="ET13" s="22">
        <v>172</v>
      </c>
      <c r="EU13" s="22">
        <v>1173</v>
      </c>
      <c r="EV13" s="22"/>
      <c r="EW13" s="22"/>
      <c r="EX13" s="22"/>
      <c r="EY13" s="22"/>
      <c r="EZ13" s="22"/>
      <c r="FA13" s="22"/>
      <c r="FB13" s="22"/>
      <c r="FC13" s="67">
        <v>40</v>
      </c>
      <c r="FD13" s="67">
        <v>9</v>
      </c>
      <c r="FE13" s="67">
        <v>28</v>
      </c>
      <c r="FF13" s="67">
        <v>6.5</v>
      </c>
      <c r="FG13" s="67">
        <v>3200</v>
      </c>
      <c r="FH13" s="67">
        <v>25600</v>
      </c>
      <c r="FI13" s="67"/>
      <c r="FJ13" s="67"/>
      <c r="FK13" s="67"/>
      <c r="FL13" s="67"/>
      <c r="FM13" s="67"/>
      <c r="FN13" s="67"/>
      <c r="FO13" s="67"/>
    </row>
    <row r="14" spans="1:171" x14ac:dyDescent="0.2">
      <c r="A14" s="44">
        <v>13</v>
      </c>
      <c r="B14" s="46" t="s">
        <v>236</v>
      </c>
      <c r="C14" s="22">
        <v>188</v>
      </c>
      <c r="D14" s="22">
        <v>24</v>
      </c>
      <c r="E14" s="22">
        <v>188</v>
      </c>
      <c r="F14" s="22">
        <v>91</v>
      </c>
      <c r="G14" s="28">
        <v>97</v>
      </c>
      <c r="H14" s="28">
        <v>9</v>
      </c>
      <c r="I14" s="28">
        <v>1.5</v>
      </c>
      <c r="J14" s="28">
        <v>26.7</v>
      </c>
      <c r="K14" s="28">
        <v>2.1800000000000002</v>
      </c>
      <c r="L14" s="22">
        <v>316</v>
      </c>
      <c r="M14" s="22">
        <v>100</v>
      </c>
      <c r="N14" s="22"/>
      <c r="O14" s="22"/>
      <c r="P14" s="22">
        <v>208</v>
      </c>
      <c r="Q14" s="22">
        <v>22</v>
      </c>
      <c r="R14" s="22">
        <v>178</v>
      </c>
      <c r="S14" s="22">
        <v>112</v>
      </c>
      <c r="T14" s="28">
        <v>135</v>
      </c>
      <c r="U14" s="22">
        <v>4</v>
      </c>
      <c r="V14" s="22">
        <v>1.3</v>
      </c>
      <c r="W14" s="22">
        <v>29.8</v>
      </c>
      <c r="X14" s="22">
        <v>2.5</v>
      </c>
      <c r="Y14" s="22">
        <v>240</v>
      </c>
      <c r="Z14" s="22">
        <v>80</v>
      </c>
      <c r="AA14" s="22"/>
      <c r="AB14" s="22"/>
      <c r="AC14" s="22">
        <v>234</v>
      </c>
      <c r="AD14" s="22">
        <v>16</v>
      </c>
      <c r="AE14" s="22">
        <v>161</v>
      </c>
      <c r="AF14" s="22">
        <v>92</v>
      </c>
      <c r="AG14" s="22">
        <v>99</v>
      </c>
      <c r="AH14" s="22">
        <v>1</v>
      </c>
      <c r="AI14" s="22">
        <v>1.34</v>
      </c>
      <c r="AJ14" s="22">
        <v>30.1</v>
      </c>
      <c r="AK14" s="22">
        <v>2.16</v>
      </c>
      <c r="AL14" s="22">
        <v>205</v>
      </c>
      <c r="AM14" s="22">
        <v>66</v>
      </c>
      <c r="AN14" s="22"/>
      <c r="AO14" s="22"/>
      <c r="AP14" s="22">
        <v>230</v>
      </c>
      <c r="AQ14" s="22">
        <v>61</v>
      </c>
      <c r="AR14" s="22">
        <v>237</v>
      </c>
      <c r="AS14" s="22">
        <v>160</v>
      </c>
      <c r="AT14" s="22">
        <v>242</v>
      </c>
      <c r="AU14" s="22">
        <v>6</v>
      </c>
      <c r="AV14" s="22">
        <v>1.81</v>
      </c>
      <c r="AW14" s="22">
        <v>40.700000000000003</v>
      </c>
      <c r="AX14" s="22">
        <v>1.94</v>
      </c>
      <c r="AY14" s="22">
        <v>335</v>
      </c>
      <c r="AZ14" s="22">
        <v>100</v>
      </c>
      <c r="BA14" s="22"/>
      <c r="BB14" s="22"/>
      <c r="BC14" s="22">
        <v>181</v>
      </c>
      <c r="BD14" s="22">
        <v>14</v>
      </c>
      <c r="BE14" s="22">
        <v>148</v>
      </c>
      <c r="BF14" s="22">
        <v>157</v>
      </c>
      <c r="BG14" s="22">
        <v>181</v>
      </c>
      <c r="BH14" s="22">
        <v>4</v>
      </c>
      <c r="BI14" s="22">
        <v>1.68</v>
      </c>
      <c r="BJ14" s="22">
        <v>37.799999999999997</v>
      </c>
      <c r="BK14" s="22">
        <v>2.44</v>
      </c>
      <c r="BL14" s="22">
        <v>228</v>
      </c>
      <c r="BM14" s="22">
        <v>90</v>
      </c>
      <c r="BN14" s="22"/>
      <c r="BO14" s="22"/>
      <c r="BP14" s="22">
        <v>180</v>
      </c>
      <c r="BQ14" s="22">
        <v>10</v>
      </c>
      <c r="BR14" s="22">
        <v>140</v>
      </c>
      <c r="BS14" s="22">
        <v>96</v>
      </c>
      <c r="BT14" s="22">
        <v>144</v>
      </c>
      <c r="BU14" s="22">
        <v>3</v>
      </c>
      <c r="BV14" s="22">
        <v>1.33</v>
      </c>
      <c r="BW14" s="22">
        <v>30</v>
      </c>
      <c r="BX14" s="22">
        <v>2.06</v>
      </c>
      <c r="BY14" s="22">
        <v>175</v>
      </c>
      <c r="BZ14" s="22">
        <v>100</v>
      </c>
      <c r="CA14" s="22"/>
      <c r="CB14" s="22"/>
      <c r="CC14" s="22">
        <v>133</v>
      </c>
      <c r="CD14" s="22">
        <v>18</v>
      </c>
      <c r="CE14" s="22">
        <v>116</v>
      </c>
      <c r="CF14" s="22">
        <v>55</v>
      </c>
      <c r="CG14" s="22">
        <v>170</v>
      </c>
      <c r="CH14" s="22">
        <v>4</v>
      </c>
      <c r="CI14" s="22">
        <v>1.05</v>
      </c>
      <c r="CJ14" s="22">
        <v>23.6</v>
      </c>
      <c r="CK14" s="22">
        <v>0.91</v>
      </c>
      <c r="CL14" s="22">
        <v>185</v>
      </c>
      <c r="CM14" s="22">
        <v>94</v>
      </c>
      <c r="CN14" s="22"/>
      <c r="CO14" s="22"/>
      <c r="CP14" s="22">
        <v>131</v>
      </c>
      <c r="CQ14" s="22">
        <v>15</v>
      </c>
      <c r="CR14" s="22">
        <v>116</v>
      </c>
      <c r="CS14" s="22">
        <v>91</v>
      </c>
      <c r="CT14" s="22">
        <v>109</v>
      </c>
      <c r="CU14" s="22">
        <v>4</v>
      </c>
      <c r="CV14" s="22">
        <v>1.17</v>
      </c>
      <c r="CW14" s="22">
        <v>26.4</v>
      </c>
      <c r="CX14" s="22">
        <v>3.36</v>
      </c>
      <c r="CY14" s="22">
        <v>193</v>
      </c>
      <c r="CZ14" s="22">
        <v>79</v>
      </c>
      <c r="DA14" s="22"/>
      <c r="DB14" s="22"/>
      <c r="DC14" s="22">
        <v>190</v>
      </c>
      <c r="DD14" s="22">
        <v>11</v>
      </c>
      <c r="DE14" s="22">
        <v>141</v>
      </c>
      <c r="DF14" s="22">
        <v>114</v>
      </c>
      <c r="DG14" s="22">
        <v>173</v>
      </c>
      <c r="DH14" s="22">
        <v>9</v>
      </c>
      <c r="DI14" s="22">
        <v>1.35</v>
      </c>
      <c r="DJ14" s="22">
        <v>30.4</v>
      </c>
      <c r="DK14" s="22">
        <v>1.67</v>
      </c>
      <c r="DL14" s="22">
        <v>196</v>
      </c>
      <c r="DM14" s="22">
        <v>85</v>
      </c>
      <c r="DN14" s="22"/>
      <c r="DO14" s="22"/>
      <c r="DP14" s="22">
        <v>206</v>
      </c>
      <c r="DQ14" s="22">
        <v>26</v>
      </c>
      <c r="DR14" s="22">
        <v>141</v>
      </c>
      <c r="DS14" s="22">
        <v>158</v>
      </c>
      <c r="DT14" s="22">
        <v>154</v>
      </c>
      <c r="DU14" s="22">
        <v>6</v>
      </c>
      <c r="DV14" s="22">
        <v>1.45</v>
      </c>
      <c r="DW14" s="22">
        <v>32.6</v>
      </c>
      <c r="DX14" s="22">
        <v>2.3199999999999998</v>
      </c>
      <c r="DY14" s="22">
        <v>213</v>
      </c>
      <c r="DZ14" s="22">
        <v>100</v>
      </c>
      <c r="EC14" s="22">
        <v>183</v>
      </c>
      <c r="ED14" s="22">
        <v>49</v>
      </c>
      <c r="EE14" s="22">
        <v>154</v>
      </c>
      <c r="EF14" s="22">
        <v>131</v>
      </c>
      <c r="EG14" s="22">
        <v>148</v>
      </c>
      <c r="EH14" s="22">
        <v>11</v>
      </c>
      <c r="EI14" s="22">
        <v>1.41</v>
      </c>
      <c r="EJ14" s="22">
        <v>31.7</v>
      </c>
      <c r="EK14" s="22">
        <v>4.3099999999999996</v>
      </c>
      <c r="EL14" s="22">
        <v>286</v>
      </c>
      <c r="EM14" s="22">
        <v>100</v>
      </c>
      <c r="EN14" s="22"/>
      <c r="EO14" s="22"/>
      <c r="EP14" s="86">
        <v>213</v>
      </c>
      <c r="EQ14" s="86">
        <v>45</v>
      </c>
      <c r="ER14" s="86">
        <v>144</v>
      </c>
      <c r="ES14" s="86">
        <v>135</v>
      </c>
      <c r="ET14" s="86">
        <v>199</v>
      </c>
      <c r="EU14" s="86">
        <v>12</v>
      </c>
      <c r="EV14" s="86">
        <v>1.56</v>
      </c>
      <c r="EW14" s="86">
        <v>35</v>
      </c>
      <c r="EX14" s="86">
        <v>1.95</v>
      </c>
      <c r="EY14" s="86">
        <v>231</v>
      </c>
      <c r="EZ14" s="86">
        <v>100</v>
      </c>
      <c r="FA14" s="83"/>
      <c r="FB14" s="83"/>
      <c r="FC14" s="67">
        <v>2690</v>
      </c>
      <c r="FD14" s="67">
        <v>260</v>
      </c>
      <c r="FE14" s="67">
        <v>2440</v>
      </c>
      <c r="FF14" s="67">
        <v>1550</v>
      </c>
      <c r="FG14" s="67">
        <v>1400</v>
      </c>
      <c r="FH14" s="67">
        <v>120</v>
      </c>
      <c r="FI14" s="67">
        <v>1.57</v>
      </c>
      <c r="FJ14" s="67">
        <v>33.6</v>
      </c>
      <c r="FK14" s="67">
        <v>34.6</v>
      </c>
      <c r="FL14" s="67">
        <v>3050</v>
      </c>
      <c r="FM14" s="67">
        <v>90</v>
      </c>
      <c r="FN14" s="67"/>
      <c r="FO14" s="67"/>
    </row>
    <row r="15" spans="1:171" x14ac:dyDescent="0.2">
      <c r="A15" s="44">
        <v>14</v>
      </c>
      <c r="B15" s="46" t="s">
        <v>238</v>
      </c>
      <c r="C15" s="22">
        <v>100</v>
      </c>
      <c r="D15" s="22">
        <v>100</v>
      </c>
      <c r="E15" s="22">
        <v>100</v>
      </c>
      <c r="F15" s="22">
        <v>20</v>
      </c>
      <c r="G15" s="22">
        <v>40</v>
      </c>
      <c r="H15" s="22">
        <v>5</v>
      </c>
      <c r="I15" s="22"/>
      <c r="J15" s="22"/>
      <c r="K15" s="22"/>
      <c r="L15" s="22"/>
      <c r="M15" s="22"/>
      <c r="N15" s="22"/>
      <c r="O15" s="22"/>
      <c r="P15" s="22">
        <v>100</v>
      </c>
      <c r="Q15" s="22">
        <v>100</v>
      </c>
      <c r="R15" s="22">
        <v>100</v>
      </c>
      <c r="S15" s="22">
        <v>45</v>
      </c>
      <c r="T15" s="28">
        <v>55</v>
      </c>
      <c r="U15" s="22">
        <v>11</v>
      </c>
      <c r="V15" s="22"/>
      <c r="W15" s="22"/>
      <c r="X15" s="22"/>
      <c r="Y15" s="22"/>
      <c r="Z15" s="22"/>
      <c r="AA15" s="22"/>
      <c r="AB15" s="22"/>
      <c r="AC15" s="22">
        <v>100</v>
      </c>
      <c r="AD15" s="22">
        <v>100</v>
      </c>
      <c r="AE15" s="22">
        <v>100</v>
      </c>
      <c r="AF15" s="22">
        <v>60</v>
      </c>
      <c r="AG15" s="22">
        <v>60</v>
      </c>
      <c r="AH15" s="22">
        <v>5</v>
      </c>
      <c r="AI15" s="22"/>
      <c r="AJ15" s="22"/>
      <c r="AK15" s="22"/>
      <c r="AL15" s="22"/>
      <c r="AM15" s="22"/>
      <c r="AN15" s="22"/>
      <c r="AO15" s="22"/>
      <c r="AP15" s="22">
        <v>100</v>
      </c>
      <c r="AQ15" s="22">
        <v>100</v>
      </c>
      <c r="AR15" s="22">
        <v>100</v>
      </c>
      <c r="AS15" s="22">
        <v>71</v>
      </c>
      <c r="AT15" s="22">
        <v>71</v>
      </c>
      <c r="AU15" s="22">
        <v>7</v>
      </c>
      <c r="AV15" s="22"/>
      <c r="AW15" s="22"/>
      <c r="AX15" s="22"/>
      <c r="AY15" s="22"/>
      <c r="AZ15" s="22"/>
      <c r="BA15" s="22"/>
      <c r="BB15" s="22"/>
      <c r="BC15" s="22">
        <v>100</v>
      </c>
      <c r="BD15" s="22">
        <v>100</v>
      </c>
      <c r="BE15" s="22">
        <v>100</v>
      </c>
      <c r="BF15" s="22">
        <v>50</v>
      </c>
      <c r="BG15" s="22">
        <v>50</v>
      </c>
      <c r="BH15" s="22">
        <v>2</v>
      </c>
      <c r="BI15" s="22"/>
      <c r="BJ15" s="22"/>
      <c r="BK15" s="22"/>
      <c r="BL15" s="22"/>
      <c r="BM15" s="22"/>
      <c r="BN15" s="22"/>
      <c r="BO15" s="22"/>
      <c r="BP15" s="22">
        <v>100</v>
      </c>
      <c r="BQ15" s="22">
        <v>100</v>
      </c>
      <c r="BR15" s="22">
        <v>100</v>
      </c>
      <c r="BS15" s="22">
        <v>87</v>
      </c>
      <c r="BT15" s="22">
        <v>100</v>
      </c>
      <c r="BU15" s="22">
        <v>15</v>
      </c>
      <c r="BV15" s="22"/>
      <c r="BW15" s="22"/>
      <c r="BX15" s="22"/>
      <c r="BY15" s="22"/>
      <c r="BZ15" s="22"/>
      <c r="CA15" s="22"/>
      <c r="CB15" s="22"/>
      <c r="CC15" s="22">
        <v>100</v>
      </c>
      <c r="CD15" s="22">
        <v>100</v>
      </c>
      <c r="CE15" s="22">
        <v>100</v>
      </c>
      <c r="CF15" s="22">
        <v>69</v>
      </c>
      <c r="CG15" s="22">
        <v>100</v>
      </c>
      <c r="CH15" s="22">
        <v>13</v>
      </c>
      <c r="CI15" s="22"/>
      <c r="CJ15" s="22"/>
      <c r="CK15" s="22"/>
      <c r="CL15" s="22"/>
      <c r="CM15" s="22"/>
      <c r="CN15" s="22"/>
      <c r="CO15" s="22"/>
      <c r="CP15" s="22">
        <v>100</v>
      </c>
      <c r="CQ15" s="22">
        <v>100</v>
      </c>
      <c r="CR15" s="22">
        <v>100</v>
      </c>
      <c r="CS15" s="22">
        <v>60</v>
      </c>
      <c r="CT15" s="22">
        <v>60</v>
      </c>
      <c r="CU15" s="22">
        <v>10</v>
      </c>
      <c r="CV15" s="22"/>
      <c r="CW15" s="22"/>
      <c r="CX15" s="22"/>
      <c r="CY15" s="22"/>
      <c r="CZ15" s="22"/>
      <c r="DA15" s="22"/>
      <c r="DB15" s="22"/>
      <c r="DC15" s="22">
        <v>100</v>
      </c>
      <c r="DD15" s="22">
        <v>100</v>
      </c>
      <c r="DE15" s="22">
        <v>100</v>
      </c>
      <c r="DF15" s="22">
        <v>43</v>
      </c>
      <c r="DG15" s="22">
        <v>57</v>
      </c>
      <c r="DH15" s="22">
        <v>7</v>
      </c>
      <c r="DI15" s="22"/>
      <c r="DJ15" s="22"/>
      <c r="DK15" s="22"/>
      <c r="DL15" s="22"/>
      <c r="DM15" s="22"/>
      <c r="DN15" s="22"/>
      <c r="DO15" s="22"/>
      <c r="DP15" s="22">
        <v>99.9</v>
      </c>
      <c r="DQ15">
        <v>99.9</v>
      </c>
      <c r="DR15">
        <v>99.9</v>
      </c>
      <c r="DS15" s="22">
        <v>0</v>
      </c>
      <c r="DT15" s="22">
        <v>0</v>
      </c>
      <c r="DU15" s="22">
        <v>4</v>
      </c>
      <c r="EC15" s="22">
        <v>100</v>
      </c>
      <c r="ED15" s="22">
        <v>100</v>
      </c>
      <c r="EE15" s="22">
        <v>100</v>
      </c>
      <c r="EF15" s="22">
        <v>40</v>
      </c>
      <c r="EG15" s="22">
        <v>60</v>
      </c>
      <c r="EH15" s="22">
        <v>5</v>
      </c>
      <c r="EI15" s="22"/>
      <c r="EJ15" s="22"/>
      <c r="EK15" s="22"/>
      <c r="EL15" s="22"/>
      <c r="EM15" s="22"/>
      <c r="EN15" s="22"/>
      <c r="EO15" s="22"/>
      <c r="EP15" s="83">
        <v>100</v>
      </c>
      <c r="EQ15" s="83">
        <v>100</v>
      </c>
      <c r="ER15" s="83">
        <v>100</v>
      </c>
      <c r="ES15" s="83">
        <v>50</v>
      </c>
      <c r="ET15" s="83">
        <v>100</v>
      </c>
      <c r="EU15" s="83">
        <v>2</v>
      </c>
      <c r="EV15" s="83"/>
      <c r="EW15" s="83"/>
      <c r="EX15" s="83"/>
      <c r="EY15" s="83"/>
      <c r="EZ15" s="83"/>
      <c r="FA15" s="83"/>
      <c r="FB15" s="83"/>
      <c r="FC15" s="67">
        <v>99.9</v>
      </c>
      <c r="FD15" s="67">
        <v>99.9</v>
      </c>
      <c r="FE15" s="67">
        <v>99.9</v>
      </c>
      <c r="FF15" s="67">
        <v>52</v>
      </c>
      <c r="FG15" s="67">
        <v>80</v>
      </c>
      <c r="FH15" s="67">
        <v>130</v>
      </c>
      <c r="FI15" s="67"/>
      <c r="FJ15" s="67"/>
      <c r="FK15" s="67"/>
      <c r="FL15" s="67"/>
      <c r="FM15" s="67"/>
      <c r="FN15" s="67"/>
      <c r="FO15" s="67"/>
    </row>
    <row r="16" spans="1:171" x14ac:dyDescent="0.2">
      <c r="A16" s="44">
        <v>15</v>
      </c>
      <c r="B16" s="46" t="s">
        <v>8</v>
      </c>
      <c r="C16" s="22">
        <v>73.5</v>
      </c>
      <c r="D16" s="22">
        <v>12.4</v>
      </c>
      <c r="E16" s="22">
        <v>184</v>
      </c>
      <c r="F16" s="22">
        <v>5.9</v>
      </c>
      <c r="G16" s="22">
        <v>180</v>
      </c>
      <c r="H16" s="22">
        <v>61.6</v>
      </c>
      <c r="I16" s="22"/>
      <c r="J16" s="22"/>
      <c r="K16" s="22"/>
      <c r="L16" s="22"/>
      <c r="M16" s="22"/>
      <c r="N16" s="22"/>
      <c r="O16" s="22"/>
      <c r="P16" s="22">
        <v>79.099999999999994</v>
      </c>
      <c r="Q16" s="22">
        <v>12.1</v>
      </c>
      <c r="R16" s="22">
        <v>202</v>
      </c>
      <c r="S16" s="22">
        <v>6.5</v>
      </c>
      <c r="T16" s="28">
        <v>197</v>
      </c>
      <c r="U16" s="22">
        <v>63.4</v>
      </c>
      <c r="V16" s="22"/>
      <c r="W16" s="22"/>
      <c r="X16" s="22"/>
      <c r="Y16" s="22"/>
      <c r="Z16" s="22"/>
      <c r="AA16" s="22"/>
      <c r="AB16" s="22"/>
      <c r="AC16" s="22">
        <v>85.6</v>
      </c>
      <c r="AD16" s="22">
        <v>14.7</v>
      </c>
      <c r="AE16" s="22">
        <v>175</v>
      </c>
      <c r="AF16" s="22">
        <v>5.8</v>
      </c>
      <c r="AG16" s="22">
        <v>171</v>
      </c>
      <c r="AH16" s="22">
        <v>69.3</v>
      </c>
      <c r="AI16" s="22"/>
      <c r="AJ16" s="22"/>
      <c r="AK16" s="22"/>
      <c r="AL16" s="22"/>
      <c r="AM16" s="22"/>
      <c r="AN16" s="22"/>
      <c r="AO16" s="22"/>
      <c r="AP16" s="22">
        <v>77.8</v>
      </c>
      <c r="AQ16" s="22">
        <v>16.600000000000001</v>
      </c>
      <c r="AR16" s="22">
        <v>145</v>
      </c>
      <c r="AS16" s="22">
        <v>4.7</v>
      </c>
      <c r="AT16" s="22">
        <v>151</v>
      </c>
      <c r="AU16" s="22">
        <v>68</v>
      </c>
      <c r="AV16" s="22"/>
      <c r="AW16" s="22"/>
      <c r="AX16" s="22"/>
      <c r="AY16" s="22"/>
      <c r="AZ16" s="22"/>
      <c r="BA16" s="22"/>
      <c r="BB16" s="22"/>
      <c r="BC16" s="22">
        <v>70.8</v>
      </c>
      <c r="BD16" s="22">
        <v>15.6</v>
      </c>
      <c r="BE16" s="22">
        <v>136</v>
      </c>
      <c r="BF16" s="22">
        <v>4.5</v>
      </c>
      <c r="BG16" s="22">
        <v>145</v>
      </c>
      <c r="BH16" s="22">
        <v>71.5</v>
      </c>
      <c r="BI16" s="22"/>
      <c r="BJ16" s="22"/>
      <c r="BK16" s="22"/>
      <c r="BL16" s="22"/>
      <c r="BM16" s="22"/>
      <c r="BN16" s="22"/>
      <c r="BO16" s="22"/>
      <c r="BP16" s="22">
        <v>62.8</v>
      </c>
      <c r="BQ16" s="22">
        <v>16.899999999999999</v>
      </c>
      <c r="BR16" s="22">
        <v>115</v>
      </c>
      <c r="BS16" s="22">
        <v>3.7</v>
      </c>
      <c r="BT16" s="22">
        <v>126</v>
      </c>
      <c r="BU16" s="22">
        <v>71.900000000000006</v>
      </c>
      <c r="BV16" s="22"/>
      <c r="BW16" s="22"/>
      <c r="BX16" s="22"/>
      <c r="BY16" s="22"/>
      <c r="BZ16" s="22"/>
      <c r="CA16" s="22"/>
      <c r="CB16" s="22"/>
      <c r="CC16" s="22">
        <v>67.900000000000006</v>
      </c>
      <c r="CD16" s="22">
        <v>12.4</v>
      </c>
      <c r="CE16" s="22">
        <v>170</v>
      </c>
      <c r="CF16" s="22">
        <v>5.5</v>
      </c>
      <c r="CG16" s="22">
        <v>152</v>
      </c>
      <c r="CH16" s="22">
        <v>70.3</v>
      </c>
      <c r="CI16" s="22"/>
      <c r="CJ16" s="22"/>
      <c r="CK16" s="22"/>
      <c r="CL16" s="22"/>
      <c r="CM16" s="22"/>
      <c r="CN16" s="22"/>
      <c r="CO16" s="22"/>
      <c r="CP16" s="22">
        <v>75.099999999999994</v>
      </c>
      <c r="CQ16" s="22">
        <v>15.4</v>
      </c>
      <c r="CR16" s="22">
        <v>137</v>
      </c>
      <c r="CS16" s="22">
        <v>4.9000000000000004</v>
      </c>
      <c r="CT16" s="22">
        <v>144</v>
      </c>
      <c r="CU16" s="22">
        <v>67</v>
      </c>
      <c r="CV16" s="22"/>
      <c r="CW16" s="22"/>
      <c r="CX16" s="22"/>
      <c r="CY16" s="22"/>
      <c r="CZ16" s="22"/>
      <c r="DA16" s="22"/>
      <c r="DB16" s="22"/>
      <c r="DC16" s="22">
        <v>81.400000000000006</v>
      </c>
      <c r="DD16" s="22">
        <v>14.9</v>
      </c>
      <c r="DE16" s="22">
        <v>169</v>
      </c>
      <c r="DF16" s="22">
        <v>5.5</v>
      </c>
      <c r="DG16" s="22">
        <v>161</v>
      </c>
      <c r="DH16" s="22">
        <v>64.2</v>
      </c>
      <c r="DI16" s="22"/>
      <c r="DJ16" s="22"/>
      <c r="DK16" s="22"/>
      <c r="DL16" s="22"/>
      <c r="DM16" s="22"/>
      <c r="DN16" s="22"/>
      <c r="DO16" s="22"/>
      <c r="DP16" s="22">
        <v>79.3</v>
      </c>
      <c r="DQ16" s="22">
        <v>12.3</v>
      </c>
      <c r="DR16" s="22">
        <v>193</v>
      </c>
      <c r="DS16" s="22">
        <v>6.4</v>
      </c>
      <c r="DT16" s="22">
        <v>194</v>
      </c>
      <c r="DU16" s="22">
        <v>61.5</v>
      </c>
      <c r="DV16" s="22"/>
      <c r="DW16" s="22"/>
      <c r="DX16" s="22"/>
      <c r="DY16" s="22"/>
      <c r="DZ16" s="22"/>
      <c r="EA16" s="22"/>
      <c r="EC16" s="22">
        <v>81.7</v>
      </c>
      <c r="ED16" s="22">
        <v>12.6</v>
      </c>
      <c r="EE16" s="22">
        <v>201</v>
      </c>
      <c r="EF16" s="22">
        <v>6.5</v>
      </c>
      <c r="EG16" s="22">
        <v>195</v>
      </c>
      <c r="EH16" s="22">
        <v>65.5</v>
      </c>
      <c r="EI16" s="22"/>
      <c r="EJ16" s="22"/>
      <c r="EK16" s="22"/>
      <c r="EL16" s="22"/>
      <c r="EM16" s="22"/>
      <c r="EN16" s="22"/>
      <c r="EO16" s="22"/>
      <c r="EP16" s="83">
        <v>77.7</v>
      </c>
      <c r="EQ16" s="83">
        <v>11.4</v>
      </c>
      <c r="ER16" s="83">
        <v>205</v>
      </c>
      <c r="ES16" s="83">
        <v>6.8</v>
      </c>
      <c r="ET16" s="83">
        <v>220</v>
      </c>
      <c r="EU16" s="83">
        <v>73.7</v>
      </c>
      <c r="EV16" s="83"/>
      <c r="EW16" s="83"/>
      <c r="EX16" s="83"/>
      <c r="EY16" s="83"/>
      <c r="EZ16" s="83"/>
      <c r="FA16" s="83"/>
      <c r="FB16" s="83"/>
      <c r="FC16" s="67">
        <v>90</v>
      </c>
      <c r="FD16" s="67">
        <v>13</v>
      </c>
      <c r="FE16" s="67">
        <v>2260</v>
      </c>
      <c r="FF16" s="67">
        <v>6.2</v>
      </c>
      <c r="FG16" s="67">
        <v>2260</v>
      </c>
      <c r="FH16" s="67">
        <v>70</v>
      </c>
      <c r="FI16" s="67"/>
      <c r="FJ16" s="67"/>
      <c r="FK16" s="67"/>
      <c r="FL16" s="67"/>
      <c r="FM16" s="67"/>
      <c r="FN16" s="67"/>
      <c r="FO16" s="67"/>
    </row>
    <row r="17" spans="1:171" x14ac:dyDescent="0.2">
      <c r="A17" s="44">
        <v>16</v>
      </c>
      <c r="B17" s="46" t="s">
        <v>9</v>
      </c>
      <c r="C17" s="22">
        <v>22259</v>
      </c>
      <c r="D17" s="22">
        <v>11831</v>
      </c>
      <c r="E17" s="22">
        <v>710</v>
      </c>
      <c r="F17" s="22">
        <v>2596</v>
      </c>
      <c r="G17" s="28">
        <v>15789</v>
      </c>
      <c r="H17" s="22">
        <v>3504</v>
      </c>
      <c r="I17" s="22">
        <v>3.14</v>
      </c>
      <c r="J17" s="22">
        <v>3.83</v>
      </c>
      <c r="K17" s="22">
        <v>5.15</v>
      </c>
      <c r="L17" s="22">
        <v>403</v>
      </c>
      <c r="M17" s="22">
        <v>107</v>
      </c>
      <c r="N17" s="22">
        <v>4</v>
      </c>
      <c r="O17" s="22">
        <v>0</v>
      </c>
      <c r="P17" s="22">
        <v>16889</v>
      </c>
      <c r="Q17" s="22">
        <v>8865</v>
      </c>
      <c r="R17" s="22">
        <v>457</v>
      </c>
      <c r="S17" s="22">
        <v>2486</v>
      </c>
      <c r="T17" s="28">
        <v>13613</v>
      </c>
      <c r="U17" s="22">
        <v>3062</v>
      </c>
      <c r="V17" s="22">
        <v>2.92</v>
      </c>
      <c r="W17" s="22">
        <v>3.57</v>
      </c>
      <c r="X17" s="22">
        <v>5.53</v>
      </c>
      <c r="Y17" s="22">
        <v>284</v>
      </c>
      <c r="Z17" s="22">
        <v>126</v>
      </c>
      <c r="AA17" s="22">
        <v>3</v>
      </c>
      <c r="AB17" s="22">
        <v>0</v>
      </c>
      <c r="AC17" s="22">
        <v>15435</v>
      </c>
      <c r="AD17" s="22">
        <v>8126</v>
      </c>
      <c r="AE17" s="22">
        <v>277</v>
      </c>
      <c r="AF17" s="22">
        <v>2383</v>
      </c>
      <c r="AG17" s="22">
        <v>12284</v>
      </c>
      <c r="AH17" s="22">
        <v>3174</v>
      </c>
      <c r="AI17" s="22">
        <v>2.76</v>
      </c>
      <c r="AJ17" s="22">
        <v>3.4</v>
      </c>
      <c r="AK17" s="22">
        <v>5.8</v>
      </c>
      <c r="AL17" s="22">
        <v>270</v>
      </c>
      <c r="AM17" s="22">
        <v>152</v>
      </c>
      <c r="AN17" s="22">
        <v>3</v>
      </c>
      <c r="AO17" s="22"/>
      <c r="AP17" s="22">
        <v>16212</v>
      </c>
      <c r="AQ17" s="22">
        <v>8892</v>
      </c>
      <c r="AR17" s="22">
        <v>153</v>
      </c>
      <c r="AS17" s="22">
        <v>2516</v>
      </c>
      <c r="AT17" s="22">
        <v>15486</v>
      </c>
      <c r="AU17" s="22">
        <v>3433</v>
      </c>
      <c r="AV17" s="22">
        <v>2.84</v>
      </c>
      <c r="AW17" s="22">
        <v>3.49</v>
      </c>
      <c r="AX17" s="22">
        <v>5.65</v>
      </c>
      <c r="AY17" s="22">
        <v>264</v>
      </c>
      <c r="AZ17" s="22">
        <v>149</v>
      </c>
      <c r="BA17" s="22">
        <v>4</v>
      </c>
      <c r="BB17" s="22">
        <v>0</v>
      </c>
      <c r="BC17" s="22">
        <v>13085</v>
      </c>
      <c r="BD17" s="22">
        <v>6751</v>
      </c>
      <c r="BE17" s="22">
        <v>376</v>
      </c>
      <c r="BF17" s="22">
        <v>1923</v>
      </c>
      <c r="BG17" s="22">
        <v>10244</v>
      </c>
      <c r="BH17" s="22">
        <v>2982</v>
      </c>
      <c r="BI17" s="22">
        <v>2.68</v>
      </c>
      <c r="BJ17" s="22">
        <v>3.3</v>
      </c>
      <c r="BK17" s="22">
        <v>5.98</v>
      </c>
      <c r="BL17" s="22">
        <v>234</v>
      </c>
      <c r="BM17" s="22">
        <v>136</v>
      </c>
      <c r="BN17" s="22">
        <v>2</v>
      </c>
      <c r="BO17" s="22">
        <v>0</v>
      </c>
      <c r="BP17" s="22">
        <v>13094</v>
      </c>
      <c r="BQ17" s="22">
        <v>6699</v>
      </c>
      <c r="BR17" s="22">
        <v>375</v>
      </c>
      <c r="BS17" s="22">
        <v>1753</v>
      </c>
      <c r="BT17" s="22">
        <v>9773</v>
      </c>
      <c r="BU17" s="22">
        <v>2883</v>
      </c>
      <c r="BV17" s="22">
        <v>2.56</v>
      </c>
      <c r="BW17" s="22">
        <v>3.17</v>
      </c>
      <c r="BX17" s="22">
        <v>6.22</v>
      </c>
      <c r="BY17" s="22">
        <v>191</v>
      </c>
      <c r="BZ17" s="22">
        <v>105</v>
      </c>
      <c r="CA17" s="22">
        <v>3</v>
      </c>
      <c r="CB17" s="22"/>
      <c r="CC17" s="22">
        <v>14701</v>
      </c>
      <c r="CD17" s="22">
        <v>7837</v>
      </c>
      <c r="CE17" s="22">
        <v>246</v>
      </c>
      <c r="CF17" s="22">
        <v>2005</v>
      </c>
      <c r="CG17" s="22">
        <v>10847</v>
      </c>
      <c r="CH17" s="22">
        <v>3551</v>
      </c>
      <c r="CI17" s="22">
        <v>2.5</v>
      </c>
      <c r="CJ17" s="22">
        <v>3.13</v>
      </c>
      <c r="CK17" s="22">
        <v>6.31</v>
      </c>
      <c r="CL17" s="22">
        <v>277</v>
      </c>
      <c r="CM17" s="22">
        <v>120</v>
      </c>
      <c r="CN17" s="22">
        <v>3</v>
      </c>
      <c r="CO17" s="22">
        <v>0</v>
      </c>
      <c r="CP17" s="22">
        <v>12715</v>
      </c>
      <c r="CQ17" s="22">
        <v>6884</v>
      </c>
      <c r="CR17" s="22">
        <v>307</v>
      </c>
      <c r="CS17" s="22">
        <v>1637</v>
      </c>
      <c r="CT17" s="22">
        <v>9942</v>
      </c>
      <c r="CU17" s="22">
        <v>3197</v>
      </c>
      <c r="CV17" s="22">
        <v>2.4300000000000002</v>
      </c>
      <c r="CW17" s="22">
        <v>3.06</v>
      </c>
      <c r="CX17" s="22">
        <v>6.45</v>
      </c>
      <c r="CY17" s="22">
        <v>297</v>
      </c>
      <c r="CZ17" s="22">
        <v>103</v>
      </c>
      <c r="DA17" s="22">
        <v>4</v>
      </c>
      <c r="DB17" s="22"/>
      <c r="DC17" s="22">
        <v>14977</v>
      </c>
      <c r="DD17" s="22">
        <v>7889</v>
      </c>
      <c r="DE17" s="22">
        <v>580</v>
      </c>
      <c r="DF17" s="22">
        <v>2134</v>
      </c>
      <c r="DG17" s="22">
        <v>12009</v>
      </c>
      <c r="DH17" s="22">
        <v>3147</v>
      </c>
      <c r="DI17" s="22">
        <v>2.4300000000000002</v>
      </c>
      <c r="DJ17" s="22">
        <v>3.06</v>
      </c>
      <c r="DK17" s="22">
        <v>6.44</v>
      </c>
      <c r="DL17" s="22">
        <v>364</v>
      </c>
      <c r="DM17" s="22">
        <v>113</v>
      </c>
      <c r="DN17" s="22">
        <v>6</v>
      </c>
      <c r="DO17" s="22"/>
      <c r="DP17" s="22">
        <v>13662</v>
      </c>
      <c r="DQ17" s="22">
        <v>7140</v>
      </c>
      <c r="DR17" s="22">
        <v>569</v>
      </c>
      <c r="DS17" s="22">
        <v>2022</v>
      </c>
      <c r="DT17" s="22">
        <v>13511</v>
      </c>
      <c r="DU17" s="22">
        <v>3039</v>
      </c>
      <c r="DV17" s="22">
        <v>2.4500000000000002</v>
      </c>
      <c r="DW17" s="22">
        <v>3.08</v>
      </c>
      <c r="DX17" s="22">
        <v>6.41</v>
      </c>
      <c r="DY17" s="22">
        <v>210</v>
      </c>
      <c r="DZ17" s="22">
        <v>139</v>
      </c>
      <c r="EA17" s="22">
        <v>5</v>
      </c>
      <c r="EB17" s="22"/>
      <c r="EC17" s="22">
        <v>14477</v>
      </c>
      <c r="ED17" s="22">
        <v>7545</v>
      </c>
      <c r="EE17" s="22">
        <v>516</v>
      </c>
      <c r="EF17" s="22">
        <v>2056</v>
      </c>
      <c r="EG17" s="22">
        <v>11981</v>
      </c>
      <c r="EH17" s="22">
        <v>3199</v>
      </c>
      <c r="EI17" s="22">
        <v>2.44</v>
      </c>
      <c r="EJ17" s="22">
        <v>3.07</v>
      </c>
      <c r="EK17" s="22">
        <v>6.42</v>
      </c>
      <c r="EL17" s="22"/>
      <c r="EM17" s="22"/>
      <c r="EN17" s="22"/>
      <c r="EO17" s="22"/>
      <c r="EP17" s="86">
        <v>18984</v>
      </c>
      <c r="EQ17" s="86">
        <v>10013</v>
      </c>
      <c r="ER17" s="86">
        <v>1608</v>
      </c>
      <c r="ES17" s="86">
        <v>2190</v>
      </c>
      <c r="ET17" s="86">
        <v>15014</v>
      </c>
      <c r="EU17" s="86">
        <v>3626</v>
      </c>
      <c r="EV17" s="86">
        <v>2.48</v>
      </c>
      <c r="EW17" s="86">
        <v>3.13</v>
      </c>
      <c r="EX17" s="86">
        <v>6.31</v>
      </c>
      <c r="EY17" s="86"/>
      <c r="EZ17" s="86"/>
      <c r="FA17" s="86"/>
      <c r="FB17" s="86"/>
      <c r="FC17" s="67">
        <v>210000</v>
      </c>
      <c r="FD17" s="67">
        <v>123000</v>
      </c>
      <c r="FE17" s="80">
        <v>8050</v>
      </c>
      <c r="FF17" s="80">
        <v>29600</v>
      </c>
      <c r="FG17" s="67">
        <v>145200</v>
      </c>
      <c r="FH17" s="67">
        <v>36700</v>
      </c>
      <c r="FI17" s="67">
        <v>2.5</v>
      </c>
      <c r="FJ17" s="67">
        <v>3.1</v>
      </c>
      <c r="FK17" s="67">
        <v>6.5</v>
      </c>
      <c r="FL17" s="67">
        <v>4100</v>
      </c>
      <c r="FM17" s="67">
        <v>2375</v>
      </c>
      <c r="FN17" s="67">
        <v>50</v>
      </c>
      <c r="FO17" s="67">
        <v>5</v>
      </c>
    </row>
    <row r="18" spans="1:171" x14ac:dyDescent="0.2">
      <c r="A18" s="44">
        <v>17</v>
      </c>
      <c r="B18" s="46" t="s">
        <v>424</v>
      </c>
      <c r="C18" s="22">
        <v>0</v>
      </c>
      <c r="D18" s="22">
        <v>0</v>
      </c>
      <c r="E18" s="22">
        <v>0</v>
      </c>
      <c r="F18" s="22">
        <v>0</v>
      </c>
      <c r="G18" s="28">
        <v>0</v>
      </c>
      <c r="H18" s="22">
        <v>0</v>
      </c>
      <c r="I18" s="22">
        <v>0</v>
      </c>
      <c r="J18" s="22">
        <v>62</v>
      </c>
      <c r="K18" s="22">
        <v>2</v>
      </c>
      <c r="L18" s="22">
        <v>2</v>
      </c>
      <c r="M18" s="22"/>
      <c r="N18" s="22"/>
      <c r="O18" s="22"/>
      <c r="P18" s="22">
        <v>0</v>
      </c>
      <c r="Q18" s="22">
        <v>0</v>
      </c>
      <c r="R18" s="22">
        <v>1</v>
      </c>
      <c r="S18" s="22">
        <v>1</v>
      </c>
      <c r="T18" s="28">
        <v>0</v>
      </c>
      <c r="U18" s="22">
        <v>0</v>
      </c>
      <c r="V18" s="22">
        <v>0</v>
      </c>
      <c r="W18" s="22">
        <v>39</v>
      </c>
      <c r="X18" s="22">
        <v>2</v>
      </c>
      <c r="Y18" s="22">
        <v>1</v>
      </c>
      <c r="Z18" s="22"/>
      <c r="AA18" s="22"/>
      <c r="AB18" s="22"/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30</v>
      </c>
      <c r="AK18" s="22">
        <v>1</v>
      </c>
      <c r="AL18" s="22">
        <v>1</v>
      </c>
      <c r="AM18" s="22"/>
      <c r="AN18" s="22"/>
      <c r="AO18" s="22"/>
      <c r="AP18" s="22">
        <v>2</v>
      </c>
      <c r="AQ18" s="22">
        <v>2</v>
      </c>
      <c r="AR18" s="22">
        <v>3</v>
      </c>
      <c r="AS18" s="22">
        <v>2</v>
      </c>
      <c r="AT18" s="22">
        <v>1</v>
      </c>
      <c r="AU18" s="22">
        <v>25</v>
      </c>
      <c r="AV18" s="22">
        <v>0</v>
      </c>
      <c r="AW18" s="22">
        <v>23</v>
      </c>
      <c r="AX18" s="22">
        <v>1</v>
      </c>
      <c r="AY18" s="22">
        <v>0</v>
      </c>
      <c r="AZ18" s="22"/>
      <c r="BA18" s="22"/>
      <c r="BB18" s="22"/>
      <c r="BC18" s="22">
        <v>5</v>
      </c>
      <c r="BD18" s="22">
        <v>5</v>
      </c>
      <c r="BE18" s="22">
        <v>5</v>
      </c>
      <c r="BF18" s="22">
        <v>5</v>
      </c>
      <c r="BG18" s="22">
        <v>0</v>
      </c>
      <c r="BH18" s="22">
        <v>0</v>
      </c>
      <c r="BI18" s="22">
        <v>0</v>
      </c>
      <c r="BJ18" s="22">
        <v>89</v>
      </c>
      <c r="BK18" s="22">
        <v>0</v>
      </c>
      <c r="BL18" s="22">
        <v>0</v>
      </c>
      <c r="BM18" s="22"/>
      <c r="BN18" s="22"/>
      <c r="BO18" s="22"/>
      <c r="BP18" s="22">
        <v>1</v>
      </c>
      <c r="BQ18" s="22">
        <v>1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19</v>
      </c>
      <c r="BX18" s="22">
        <v>0</v>
      </c>
      <c r="BY18" s="22">
        <v>1</v>
      </c>
      <c r="BZ18" s="22"/>
      <c r="CA18" s="22"/>
      <c r="CB18" s="22"/>
      <c r="CC18" s="22">
        <v>3</v>
      </c>
      <c r="CD18" s="22">
        <v>3</v>
      </c>
      <c r="CE18" s="22">
        <v>3</v>
      </c>
      <c r="CF18" s="22">
        <v>3</v>
      </c>
      <c r="CG18" s="22">
        <v>0</v>
      </c>
      <c r="CH18" s="22">
        <v>0</v>
      </c>
      <c r="CI18" s="22">
        <v>0</v>
      </c>
      <c r="CJ18" s="22">
        <v>31</v>
      </c>
      <c r="CK18" s="22">
        <v>1</v>
      </c>
      <c r="CL18" s="22">
        <v>1</v>
      </c>
      <c r="CM18" s="22"/>
      <c r="CN18" s="22"/>
      <c r="CO18" s="22"/>
      <c r="CP18" s="22">
        <v>2</v>
      </c>
      <c r="CQ18" s="22">
        <v>1</v>
      </c>
      <c r="CR18" s="22">
        <v>1</v>
      </c>
      <c r="CS18" s="22">
        <v>1</v>
      </c>
      <c r="CT18" s="22">
        <v>0</v>
      </c>
      <c r="CU18" s="22">
        <v>0</v>
      </c>
      <c r="CV18" s="22">
        <v>0</v>
      </c>
      <c r="CW18" s="22">
        <v>28</v>
      </c>
      <c r="CX18" s="22">
        <v>1</v>
      </c>
      <c r="CY18" s="22">
        <v>1</v>
      </c>
      <c r="CZ18" s="22"/>
      <c r="DA18" s="22"/>
      <c r="DB18" s="22"/>
      <c r="DC18" s="22">
        <v>1</v>
      </c>
      <c r="DD18" s="22">
        <v>1</v>
      </c>
      <c r="DE18" s="22">
        <v>1</v>
      </c>
      <c r="DF18" s="22">
        <v>1</v>
      </c>
      <c r="DG18" s="22">
        <v>0</v>
      </c>
      <c r="DH18" s="22">
        <v>0</v>
      </c>
      <c r="DI18" s="22">
        <v>0</v>
      </c>
      <c r="DJ18" s="22">
        <v>31</v>
      </c>
      <c r="DK18" s="22">
        <v>1</v>
      </c>
      <c r="DL18" s="22">
        <v>1</v>
      </c>
      <c r="DM18" s="22"/>
      <c r="DN18" s="22"/>
      <c r="DO18" s="22"/>
      <c r="DP18" s="22">
        <v>1</v>
      </c>
      <c r="DQ18" s="22">
        <v>1</v>
      </c>
      <c r="DR18" s="22">
        <v>1</v>
      </c>
      <c r="DS18" s="22">
        <v>1</v>
      </c>
      <c r="DT18" s="22">
        <v>0</v>
      </c>
      <c r="DU18" s="22">
        <v>0</v>
      </c>
      <c r="DV18" s="22">
        <v>0</v>
      </c>
      <c r="DW18" s="22">
        <v>30</v>
      </c>
      <c r="DX18" s="22">
        <v>1</v>
      </c>
      <c r="DY18" s="22">
        <v>1</v>
      </c>
      <c r="EC18" s="22">
        <v>1</v>
      </c>
      <c r="ED18" s="22">
        <v>1</v>
      </c>
      <c r="EE18" s="22">
        <v>1</v>
      </c>
      <c r="EF18" s="22">
        <v>1</v>
      </c>
      <c r="EG18" s="22">
        <v>0</v>
      </c>
      <c r="EH18" s="22">
        <v>0</v>
      </c>
      <c r="EI18" s="22">
        <v>0</v>
      </c>
      <c r="EJ18" s="22">
        <v>31</v>
      </c>
      <c r="EK18" s="22">
        <v>1</v>
      </c>
      <c r="EL18" s="22">
        <v>1</v>
      </c>
      <c r="EM18" s="22"/>
      <c r="EN18" s="22"/>
      <c r="EO18" s="22"/>
      <c r="EP18" s="83">
        <v>6</v>
      </c>
      <c r="EQ18" s="83">
        <v>7</v>
      </c>
      <c r="ER18" s="83">
        <v>6</v>
      </c>
      <c r="ES18" s="83">
        <v>6</v>
      </c>
      <c r="ET18" s="83">
        <v>0</v>
      </c>
      <c r="EU18" s="83">
        <v>0</v>
      </c>
      <c r="EV18" s="83">
        <v>0</v>
      </c>
      <c r="EW18" s="83">
        <v>56</v>
      </c>
      <c r="EX18" s="83">
        <v>1</v>
      </c>
      <c r="EY18" s="83">
        <v>2</v>
      </c>
      <c r="EZ18" s="83"/>
      <c r="FA18" s="83"/>
      <c r="FB18" s="83"/>
      <c r="FC18" s="67">
        <v>20</v>
      </c>
      <c r="FD18" s="67">
        <v>18</v>
      </c>
      <c r="FE18" s="67">
        <v>18</v>
      </c>
      <c r="FF18" s="67">
        <v>18</v>
      </c>
      <c r="FG18" s="67">
        <v>0</v>
      </c>
      <c r="FH18" s="67">
        <v>0</v>
      </c>
      <c r="FI18" s="67">
        <v>0</v>
      </c>
      <c r="FJ18" s="67">
        <v>1300</v>
      </c>
      <c r="FK18" s="67">
        <v>5</v>
      </c>
      <c r="FL18" s="67">
        <v>5</v>
      </c>
      <c r="FM18" s="67"/>
      <c r="FN18" s="67"/>
      <c r="FO18" s="67"/>
    </row>
    <row r="19" spans="1:171" x14ac:dyDescent="0.2">
      <c r="A19" s="44">
        <v>18</v>
      </c>
      <c r="B19" s="46" t="s">
        <v>239</v>
      </c>
      <c r="C19" s="22">
        <v>26</v>
      </c>
      <c r="D19" s="22">
        <v>0</v>
      </c>
      <c r="E19" s="22">
        <v>36</v>
      </c>
      <c r="F19" s="22">
        <v>0</v>
      </c>
      <c r="G19" s="22">
        <v>321</v>
      </c>
      <c r="H19" s="22">
        <v>49</v>
      </c>
      <c r="I19" s="22">
        <v>369</v>
      </c>
      <c r="J19" s="22">
        <v>100</v>
      </c>
      <c r="K19" s="22">
        <v>67</v>
      </c>
      <c r="L19" s="22">
        <v>100</v>
      </c>
      <c r="M19" s="22">
        <v>7</v>
      </c>
      <c r="N19" s="22"/>
      <c r="O19" s="22"/>
      <c r="P19" s="22">
        <v>21</v>
      </c>
      <c r="Q19" s="22">
        <v>0</v>
      </c>
      <c r="R19" s="22">
        <v>26</v>
      </c>
      <c r="S19" s="22">
        <v>3</v>
      </c>
      <c r="T19" s="28">
        <v>309</v>
      </c>
      <c r="U19" s="22">
        <v>51</v>
      </c>
      <c r="V19" s="22">
        <v>278</v>
      </c>
      <c r="W19" s="22">
        <v>100</v>
      </c>
      <c r="X19" s="22">
        <v>64</v>
      </c>
      <c r="Y19" s="22">
        <v>100</v>
      </c>
      <c r="Z19" s="22">
        <v>5</v>
      </c>
      <c r="AA19" s="22"/>
      <c r="AB19" s="22"/>
      <c r="AC19" s="22">
        <v>27</v>
      </c>
      <c r="AD19" s="22">
        <v>0</v>
      </c>
      <c r="AE19" s="22">
        <v>35</v>
      </c>
      <c r="AF19" s="22">
        <v>4</v>
      </c>
      <c r="AG19" s="22">
        <v>312</v>
      </c>
      <c r="AH19" s="22">
        <v>57</v>
      </c>
      <c r="AI19" s="22">
        <v>297</v>
      </c>
      <c r="AJ19" s="22">
        <v>100</v>
      </c>
      <c r="AK19" s="22">
        <v>53</v>
      </c>
      <c r="AL19" s="22">
        <v>100</v>
      </c>
      <c r="AM19" s="22">
        <v>10</v>
      </c>
      <c r="AN19" s="22"/>
      <c r="AO19" s="22"/>
      <c r="AP19" s="22">
        <v>19</v>
      </c>
      <c r="AQ19" s="22">
        <v>0</v>
      </c>
      <c r="AR19" s="22">
        <v>24</v>
      </c>
      <c r="AS19" s="22">
        <v>4</v>
      </c>
      <c r="AT19" s="22">
        <v>387</v>
      </c>
      <c r="AU19" s="22">
        <v>61</v>
      </c>
      <c r="AV19" s="22">
        <v>308</v>
      </c>
      <c r="AW19" s="22">
        <v>100</v>
      </c>
      <c r="AX19" s="22">
        <v>44</v>
      </c>
      <c r="AY19" s="22">
        <v>100</v>
      </c>
      <c r="AZ19" s="22">
        <v>18</v>
      </c>
      <c r="BA19" s="22"/>
      <c r="BB19" s="22"/>
      <c r="BC19" s="22">
        <v>24</v>
      </c>
      <c r="BD19" s="22">
        <v>1</v>
      </c>
      <c r="BE19" s="22">
        <v>36</v>
      </c>
      <c r="BF19" s="22">
        <v>3</v>
      </c>
      <c r="BG19" s="22">
        <v>331</v>
      </c>
      <c r="BH19" s="22">
        <v>65</v>
      </c>
      <c r="BI19" s="22">
        <v>364</v>
      </c>
      <c r="BJ19" s="22">
        <v>100</v>
      </c>
      <c r="BK19" s="22">
        <v>42</v>
      </c>
      <c r="BL19" s="22">
        <v>100</v>
      </c>
      <c r="BM19" s="22">
        <v>5</v>
      </c>
      <c r="BN19" s="22"/>
      <c r="BO19" s="22"/>
      <c r="BP19" s="22">
        <v>36</v>
      </c>
      <c r="BQ19" s="22">
        <v>1</v>
      </c>
      <c r="BR19" s="22">
        <v>42</v>
      </c>
      <c r="BS19" s="22">
        <v>2</v>
      </c>
      <c r="BT19" s="22">
        <v>306</v>
      </c>
      <c r="BU19" s="22">
        <v>57</v>
      </c>
      <c r="BV19" s="22">
        <v>319</v>
      </c>
      <c r="BW19" s="22">
        <v>100</v>
      </c>
      <c r="BX19" s="22">
        <v>32</v>
      </c>
      <c r="BY19" s="22">
        <v>96</v>
      </c>
      <c r="BZ19" s="22">
        <v>6</v>
      </c>
      <c r="CA19" s="22"/>
      <c r="CB19" s="22"/>
      <c r="CC19" s="22">
        <v>41</v>
      </c>
      <c r="CD19" s="22">
        <v>1</v>
      </c>
      <c r="CE19" s="22">
        <v>54</v>
      </c>
      <c r="CF19" s="22">
        <v>2</v>
      </c>
      <c r="CG19" s="22">
        <v>411</v>
      </c>
      <c r="CH19" s="22">
        <v>73</v>
      </c>
      <c r="CI19" s="22">
        <v>341</v>
      </c>
      <c r="CJ19" s="22">
        <v>100</v>
      </c>
      <c r="CK19" s="22">
        <v>38</v>
      </c>
      <c r="CL19" s="22">
        <v>100</v>
      </c>
      <c r="CM19" s="22">
        <v>8</v>
      </c>
      <c r="CN19" s="22"/>
      <c r="CO19" s="22"/>
      <c r="CP19" s="22">
        <v>37</v>
      </c>
      <c r="CQ19" s="22">
        <v>0</v>
      </c>
      <c r="CR19" s="22">
        <v>39</v>
      </c>
      <c r="CS19" s="22">
        <v>4</v>
      </c>
      <c r="CT19" s="22">
        <v>366</v>
      </c>
      <c r="CU19" s="22">
        <v>69</v>
      </c>
      <c r="CV19" s="22">
        <v>338</v>
      </c>
      <c r="CW19" s="22">
        <v>100</v>
      </c>
      <c r="CX19" s="22">
        <v>39</v>
      </c>
      <c r="CY19" s="22">
        <v>100</v>
      </c>
      <c r="CZ19" s="22">
        <v>13</v>
      </c>
      <c r="DA19" s="22"/>
      <c r="DB19" s="22"/>
      <c r="DC19" s="22">
        <v>32</v>
      </c>
      <c r="DD19" s="22">
        <v>0</v>
      </c>
      <c r="DE19" s="22">
        <v>48</v>
      </c>
      <c r="DF19" s="22">
        <v>6</v>
      </c>
      <c r="DG19" s="22">
        <v>356</v>
      </c>
      <c r="DH19" s="22">
        <v>58</v>
      </c>
      <c r="DI19" s="22">
        <v>289</v>
      </c>
      <c r="DJ19" s="22">
        <v>100</v>
      </c>
      <c r="DK19" s="22">
        <v>47</v>
      </c>
      <c r="DL19" s="22">
        <v>100</v>
      </c>
      <c r="DM19" s="22">
        <v>5</v>
      </c>
      <c r="DN19" s="22"/>
      <c r="DO19" s="22"/>
      <c r="DP19" s="22">
        <v>41</v>
      </c>
      <c r="DQ19" s="22">
        <v>0</v>
      </c>
      <c r="DR19" s="22">
        <v>50</v>
      </c>
      <c r="DS19" s="22">
        <v>4</v>
      </c>
      <c r="DT19" s="22">
        <v>372</v>
      </c>
      <c r="DU19" s="22">
        <v>79</v>
      </c>
      <c r="DV19" s="22">
        <v>349</v>
      </c>
      <c r="DW19" s="22">
        <v>94</v>
      </c>
      <c r="DX19" s="22">
        <v>61</v>
      </c>
      <c r="DY19" s="22">
        <v>95</v>
      </c>
      <c r="DZ19" s="22">
        <v>8</v>
      </c>
      <c r="EC19" s="22">
        <v>28</v>
      </c>
      <c r="ED19" s="22">
        <v>0</v>
      </c>
      <c r="EE19" s="22">
        <v>48</v>
      </c>
      <c r="EF19" s="22">
        <v>2</v>
      </c>
      <c r="EG19" s="22">
        <v>382</v>
      </c>
      <c r="EH19" s="22">
        <v>91</v>
      </c>
      <c r="EI19" s="22">
        <v>330</v>
      </c>
      <c r="EJ19" s="22">
        <v>81</v>
      </c>
      <c r="EK19" s="22">
        <v>74</v>
      </c>
      <c r="EL19" s="22">
        <v>88</v>
      </c>
      <c r="EM19" s="22">
        <v>11</v>
      </c>
      <c r="EN19" s="22"/>
      <c r="EO19" s="22"/>
      <c r="EP19" s="86">
        <v>32</v>
      </c>
      <c r="EQ19" s="86">
        <v>0</v>
      </c>
      <c r="ER19" s="86">
        <v>49</v>
      </c>
      <c r="ES19" s="86">
        <v>0</v>
      </c>
      <c r="ET19" s="86">
        <v>354</v>
      </c>
      <c r="EU19" s="86">
        <v>111</v>
      </c>
      <c r="EV19" s="86">
        <v>351</v>
      </c>
      <c r="EW19" s="86">
        <v>100</v>
      </c>
      <c r="EX19" s="86">
        <v>56</v>
      </c>
      <c r="EY19" s="86">
        <v>100</v>
      </c>
      <c r="EZ19" s="86">
        <v>13</v>
      </c>
      <c r="FA19" s="86">
        <v>0</v>
      </c>
      <c r="FB19" s="86">
        <v>0</v>
      </c>
      <c r="FC19" s="67">
        <v>310</v>
      </c>
      <c r="FD19" s="67">
        <v>1</v>
      </c>
      <c r="FE19" s="67">
        <v>300</v>
      </c>
      <c r="FF19" s="67">
        <v>30</v>
      </c>
      <c r="FG19" s="67">
        <v>4375</v>
      </c>
      <c r="FH19" s="67">
        <v>510</v>
      </c>
      <c r="FI19" s="67">
        <v>3500</v>
      </c>
      <c r="FJ19" s="67">
        <v>96</v>
      </c>
      <c r="FK19" s="67">
        <v>600</v>
      </c>
      <c r="FL19" s="67">
        <v>98</v>
      </c>
      <c r="FM19" s="67">
        <v>150</v>
      </c>
      <c r="FN19" s="67"/>
      <c r="FO19" s="67"/>
    </row>
    <row r="20" spans="1:171" x14ac:dyDescent="0.2">
      <c r="A20" s="44">
        <v>19</v>
      </c>
      <c r="B20" s="46" t="s">
        <v>10</v>
      </c>
      <c r="C20" s="22">
        <v>177</v>
      </c>
      <c r="D20" s="22">
        <v>126</v>
      </c>
      <c r="E20" s="22">
        <v>443</v>
      </c>
      <c r="F20" s="22">
        <v>67</v>
      </c>
      <c r="G20" s="22">
        <v>8.0500000000000007</v>
      </c>
      <c r="H20" s="22">
        <v>20468</v>
      </c>
      <c r="I20" s="22">
        <v>18541</v>
      </c>
      <c r="J20" s="22"/>
      <c r="K20" s="22"/>
      <c r="L20" s="22"/>
      <c r="M20" s="22"/>
      <c r="N20" s="22"/>
      <c r="O20" s="22"/>
      <c r="P20" s="22">
        <v>161</v>
      </c>
      <c r="Q20" s="22">
        <v>143</v>
      </c>
      <c r="R20" s="22">
        <v>330</v>
      </c>
      <c r="S20" s="22">
        <v>78</v>
      </c>
      <c r="T20" s="28">
        <v>7.3</v>
      </c>
      <c r="U20" s="22">
        <v>20680</v>
      </c>
      <c r="V20" s="22">
        <v>19019</v>
      </c>
      <c r="W20" s="22"/>
      <c r="X20" s="22"/>
      <c r="Y20" s="22"/>
      <c r="Z20" s="22"/>
      <c r="AA20" s="22"/>
      <c r="AB20" s="22"/>
      <c r="AC20" s="22">
        <v>148</v>
      </c>
      <c r="AD20" s="22">
        <v>103</v>
      </c>
      <c r="AE20" s="22">
        <v>392</v>
      </c>
      <c r="AF20" s="22">
        <v>43</v>
      </c>
      <c r="AG20" s="22">
        <v>7.4</v>
      </c>
      <c r="AH20" s="22">
        <v>18674</v>
      </c>
      <c r="AI20" s="22">
        <v>15970</v>
      </c>
      <c r="AJ20" s="22"/>
      <c r="AK20" s="22"/>
      <c r="AL20" s="22"/>
      <c r="AM20" s="22"/>
      <c r="AN20" s="22"/>
      <c r="AO20" s="22"/>
      <c r="AP20" s="22">
        <v>166</v>
      </c>
      <c r="AQ20" s="22">
        <v>127</v>
      </c>
      <c r="AR20" s="22">
        <v>391</v>
      </c>
      <c r="AS20" s="22">
        <v>64</v>
      </c>
      <c r="AT20" s="22">
        <v>7.2</v>
      </c>
      <c r="AU20" s="22">
        <v>21462</v>
      </c>
      <c r="AV20" s="22">
        <v>18419</v>
      </c>
      <c r="AW20" s="22"/>
      <c r="AX20" s="22"/>
      <c r="AY20" s="22"/>
      <c r="AZ20" s="22"/>
      <c r="BA20" s="22"/>
      <c r="BB20" s="22"/>
      <c r="BC20" s="22">
        <v>113</v>
      </c>
      <c r="BD20" s="22">
        <v>110</v>
      </c>
      <c r="BE20" s="22">
        <v>232</v>
      </c>
      <c r="BF20" s="22">
        <v>44</v>
      </c>
      <c r="BG20" s="22">
        <v>6.3</v>
      </c>
      <c r="BH20" s="22">
        <v>14564</v>
      </c>
      <c r="BI20" s="22">
        <v>22024</v>
      </c>
      <c r="BJ20" s="22"/>
      <c r="BK20" s="22"/>
      <c r="BL20" s="22"/>
      <c r="BM20" s="22"/>
      <c r="BN20" s="22"/>
      <c r="BO20" s="22"/>
      <c r="BP20" s="22">
        <v>143</v>
      </c>
      <c r="BQ20" s="22">
        <v>128</v>
      </c>
      <c r="BR20" s="22">
        <v>342</v>
      </c>
      <c r="BS20" s="22">
        <v>54</v>
      </c>
      <c r="BT20" s="22">
        <v>7.5</v>
      </c>
      <c r="BU20" s="22">
        <v>17430</v>
      </c>
      <c r="BV20" s="22">
        <v>25575</v>
      </c>
      <c r="BW20" s="22"/>
      <c r="BX20" s="22"/>
      <c r="BY20" s="22"/>
      <c r="BZ20" s="22"/>
      <c r="CA20" s="22"/>
      <c r="CB20" s="22"/>
      <c r="CC20" s="22">
        <v>105</v>
      </c>
      <c r="CD20" s="22">
        <v>127</v>
      </c>
      <c r="CE20" s="22">
        <v>457</v>
      </c>
      <c r="CF20" s="22">
        <v>58</v>
      </c>
      <c r="CG20" s="22">
        <v>5</v>
      </c>
      <c r="CH20" s="22">
        <v>16872</v>
      </c>
      <c r="CI20" s="22">
        <v>11038</v>
      </c>
      <c r="CJ20" s="22"/>
      <c r="CK20" s="22"/>
      <c r="CL20" s="22"/>
      <c r="CM20" s="22"/>
      <c r="CN20" s="22"/>
      <c r="CO20" s="22"/>
      <c r="CP20" s="22">
        <v>95</v>
      </c>
      <c r="CQ20" s="22">
        <v>95</v>
      </c>
      <c r="CR20" s="22">
        <v>419</v>
      </c>
      <c r="CS20" s="22">
        <v>44</v>
      </c>
      <c r="CT20" s="22">
        <v>5.4</v>
      </c>
      <c r="CU20" s="22">
        <v>14345</v>
      </c>
      <c r="CV20" s="22">
        <v>13980</v>
      </c>
      <c r="CW20" s="22"/>
      <c r="CX20" s="22"/>
      <c r="CY20" s="22"/>
      <c r="CZ20" s="22"/>
      <c r="DA20" s="22"/>
      <c r="DB20" s="22"/>
      <c r="DC20" s="22">
        <v>120</v>
      </c>
      <c r="DD20" s="22">
        <v>145</v>
      </c>
      <c r="DE20" s="22">
        <v>599</v>
      </c>
      <c r="DF20" s="22">
        <v>73</v>
      </c>
      <c r="DG20" s="22">
        <v>5.7</v>
      </c>
      <c r="DH20" s="22">
        <v>20295</v>
      </c>
      <c r="DI20" s="22">
        <v>17528</v>
      </c>
      <c r="DJ20" s="22"/>
      <c r="DK20" s="22"/>
      <c r="DL20" s="22"/>
      <c r="DM20" s="22"/>
      <c r="DN20" s="22"/>
      <c r="DO20" s="22"/>
      <c r="DP20" s="22">
        <v>108</v>
      </c>
      <c r="DQ20" s="22">
        <v>134</v>
      </c>
      <c r="DR20" s="22">
        <v>464</v>
      </c>
      <c r="DS20" s="22">
        <v>54</v>
      </c>
      <c r="DT20" s="22">
        <v>5.0999999999999996</v>
      </c>
      <c r="DU20" s="22">
        <v>16560</v>
      </c>
      <c r="DV20" s="22">
        <v>17331</v>
      </c>
      <c r="EC20" s="22">
        <v>147</v>
      </c>
      <c r="ED20" s="22">
        <v>141</v>
      </c>
      <c r="EE20" s="22">
        <v>434</v>
      </c>
      <c r="EF20" s="22">
        <v>51</v>
      </c>
      <c r="EG20" s="22">
        <v>7</v>
      </c>
      <c r="EH20" s="22">
        <v>19174</v>
      </c>
      <c r="EI20" s="22">
        <v>18312</v>
      </c>
      <c r="EJ20" s="22"/>
      <c r="EK20" s="22"/>
      <c r="EL20" s="22"/>
      <c r="EM20" s="22"/>
      <c r="EN20" s="22"/>
      <c r="EO20" s="22"/>
      <c r="EP20" s="83">
        <v>149</v>
      </c>
      <c r="EQ20" s="83">
        <v>150</v>
      </c>
      <c r="ER20" s="83">
        <v>431</v>
      </c>
      <c r="ES20" s="83">
        <v>72</v>
      </c>
      <c r="ET20" s="83">
        <v>7.1</v>
      </c>
      <c r="EU20" s="83">
        <v>19166</v>
      </c>
      <c r="EV20" s="83">
        <v>24456</v>
      </c>
      <c r="EW20" s="83"/>
      <c r="EX20" s="83"/>
      <c r="EY20" s="83"/>
      <c r="EZ20" s="83"/>
      <c r="FA20" s="83"/>
      <c r="FB20" s="83"/>
      <c r="FC20" s="67">
        <v>2075</v>
      </c>
      <c r="FD20" s="67">
        <v>1700</v>
      </c>
      <c r="FE20" s="67">
        <v>5000</v>
      </c>
      <c r="FF20" s="67">
        <v>1000</v>
      </c>
      <c r="FG20" s="67">
        <v>8.5</v>
      </c>
      <c r="FH20" s="67">
        <v>245000</v>
      </c>
      <c r="FI20" s="67">
        <v>220000</v>
      </c>
      <c r="FJ20" s="67"/>
      <c r="FK20" s="67"/>
      <c r="FL20" s="67"/>
      <c r="FM20" s="67"/>
      <c r="FN20" s="67"/>
      <c r="FO20" s="67"/>
    </row>
    <row r="21" spans="1:171" ht="12" customHeight="1" x14ac:dyDescent="0.2">
      <c r="A21" s="44">
        <v>20</v>
      </c>
      <c r="B21" s="46" t="s">
        <v>66</v>
      </c>
      <c r="C21" s="22">
        <v>4</v>
      </c>
      <c r="D21" s="22">
        <v>11</v>
      </c>
      <c r="E21" s="22">
        <v>6</v>
      </c>
      <c r="F21" s="22">
        <v>123</v>
      </c>
      <c r="G21" s="22"/>
      <c r="H21" s="22"/>
      <c r="I21" s="22"/>
      <c r="J21" s="22"/>
      <c r="K21" s="22"/>
      <c r="L21" s="22"/>
      <c r="M21" s="22"/>
      <c r="N21" s="22"/>
      <c r="O21" s="22"/>
      <c r="P21" s="22">
        <v>9</v>
      </c>
      <c r="Q21" s="22">
        <v>6</v>
      </c>
      <c r="R21" s="22">
        <v>2</v>
      </c>
      <c r="S21" s="22">
        <v>130</v>
      </c>
      <c r="T21" s="28"/>
      <c r="U21" s="22"/>
      <c r="V21" s="22"/>
      <c r="W21" s="22"/>
      <c r="X21" s="22"/>
      <c r="Y21" s="22"/>
      <c r="Z21" s="22"/>
      <c r="AA21" s="22"/>
      <c r="AB21" s="22"/>
      <c r="AC21" s="22">
        <v>28</v>
      </c>
      <c r="AD21" s="22">
        <v>18</v>
      </c>
      <c r="AE21" s="22">
        <v>2</v>
      </c>
      <c r="AF21" s="22">
        <v>61</v>
      </c>
      <c r="AG21" s="22"/>
      <c r="AH21" s="22"/>
      <c r="AI21" s="22"/>
      <c r="AJ21" s="22"/>
      <c r="AK21" s="22"/>
      <c r="AL21" s="22"/>
      <c r="AM21" s="22"/>
      <c r="AN21" s="22"/>
      <c r="AO21" s="22"/>
      <c r="AP21" s="22">
        <v>8</v>
      </c>
      <c r="AQ21" s="22">
        <v>14</v>
      </c>
      <c r="AR21" s="22">
        <v>1</v>
      </c>
      <c r="AS21" s="22">
        <v>120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22">
        <v>10</v>
      </c>
      <c r="BD21" s="22">
        <v>16</v>
      </c>
      <c r="BE21" s="22">
        <v>0</v>
      </c>
      <c r="BF21" s="22">
        <v>87</v>
      </c>
      <c r="BG21" s="22"/>
      <c r="BH21" s="22">
        <v>0</v>
      </c>
      <c r="BI21" s="22"/>
      <c r="BJ21" s="22"/>
      <c r="BK21" s="22"/>
      <c r="BL21" s="22"/>
      <c r="BM21" s="22"/>
      <c r="BN21" s="22"/>
      <c r="BO21" s="22"/>
      <c r="BP21" s="22">
        <v>4</v>
      </c>
      <c r="BQ21" s="22">
        <v>6</v>
      </c>
      <c r="BR21" s="22">
        <v>4</v>
      </c>
      <c r="BS21" s="22">
        <v>115</v>
      </c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4</v>
      </c>
      <c r="CD21" s="22">
        <v>16</v>
      </c>
      <c r="CE21" s="22">
        <v>0</v>
      </c>
      <c r="CF21" s="22">
        <v>125</v>
      </c>
      <c r="CG21" s="22"/>
      <c r="CH21" s="22"/>
      <c r="CI21" s="22"/>
      <c r="CJ21" s="22"/>
      <c r="CK21" s="22"/>
      <c r="CL21" s="22"/>
      <c r="CM21" s="22"/>
      <c r="CN21" s="22"/>
      <c r="CO21" s="22"/>
      <c r="CP21" s="22">
        <v>9</v>
      </c>
      <c r="CQ21" s="22">
        <v>6</v>
      </c>
      <c r="CR21" s="22">
        <v>0</v>
      </c>
      <c r="CS21" s="22">
        <v>22.3</v>
      </c>
      <c r="CT21" s="22"/>
      <c r="CU21" s="22"/>
      <c r="CV21" s="22"/>
      <c r="CW21" s="22"/>
      <c r="CX21" s="22"/>
      <c r="CY21" s="22"/>
      <c r="CZ21" s="22"/>
      <c r="DA21" s="22"/>
      <c r="DB21" s="22"/>
      <c r="DC21" s="22">
        <v>1</v>
      </c>
      <c r="DD21" s="22">
        <v>8</v>
      </c>
      <c r="DE21" s="22">
        <v>4</v>
      </c>
      <c r="DF21" s="22">
        <v>30</v>
      </c>
      <c r="DG21" s="22"/>
      <c r="DH21" s="22"/>
      <c r="DI21" s="22"/>
      <c r="DJ21" s="22"/>
      <c r="DK21" s="22"/>
      <c r="DL21" s="22"/>
      <c r="DM21" s="22"/>
      <c r="DN21" s="22"/>
      <c r="DO21" s="22"/>
      <c r="DP21" s="22">
        <v>3</v>
      </c>
      <c r="DQ21">
        <v>4</v>
      </c>
      <c r="DR21">
        <v>4</v>
      </c>
      <c r="DS21" s="22">
        <v>135</v>
      </c>
      <c r="DT21" s="22"/>
      <c r="DU21" s="22"/>
      <c r="DV21" s="22"/>
      <c r="EC21" s="22">
        <v>0</v>
      </c>
      <c r="ED21" s="22">
        <v>44</v>
      </c>
      <c r="EE21" s="22">
        <v>6</v>
      </c>
      <c r="EF21" s="22">
        <v>52.5</v>
      </c>
      <c r="EG21" s="22"/>
      <c r="EH21" s="22"/>
      <c r="EI21" s="22"/>
      <c r="EJ21" s="22"/>
      <c r="EK21" s="22"/>
      <c r="EL21" s="22"/>
      <c r="EM21" s="22"/>
      <c r="EN21" s="22"/>
      <c r="EO21" s="22"/>
      <c r="EP21" s="83">
        <v>0</v>
      </c>
      <c r="EQ21" s="83">
        <v>28</v>
      </c>
      <c r="ER21" s="83">
        <v>22</v>
      </c>
      <c r="ES21" s="83">
        <v>51</v>
      </c>
      <c r="ET21" s="83"/>
      <c r="EU21" s="83"/>
      <c r="EV21" s="83"/>
      <c r="EW21" s="83"/>
      <c r="EX21" s="83"/>
      <c r="EY21" s="83"/>
      <c r="EZ21" s="83"/>
      <c r="FA21" s="83"/>
      <c r="FB21" s="83"/>
      <c r="FC21" s="67">
        <v>60</v>
      </c>
      <c r="FD21" s="67">
        <v>110</v>
      </c>
      <c r="FE21" s="67">
        <v>40</v>
      </c>
      <c r="FF21" s="67">
        <v>1320</v>
      </c>
      <c r="FG21" s="67"/>
      <c r="FH21" s="67"/>
      <c r="FI21" s="67"/>
      <c r="FJ21" s="67"/>
      <c r="FK21" s="67"/>
      <c r="FL21" s="67"/>
      <c r="FM21" s="67"/>
      <c r="FN21" s="67"/>
      <c r="FO21" s="67"/>
    </row>
    <row r="22" spans="1:171" x14ac:dyDescent="0.2">
      <c r="A22" s="44">
        <v>21</v>
      </c>
      <c r="B22" s="46" t="s">
        <v>241</v>
      </c>
      <c r="C22" s="22">
        <v>24875</v>
      </c>
      <c r="D22" s="22">
        <v>4874</v>
      </c>
      <c r="E22" s="22">
        <v>1461</v>
      </c>
      <c r="F22" s="22">
        <v>3.33</v>
      </c>
      <c r="G22" s="22">
        <v>0.2</v>
      </c>
      <c r="H22" s="22">
        <v>15.14</v>
      </c>
      <c r="I22" s="22">
        <v>2.97</v>
      </c>
      <c r="J22" s="22"/>
      <c r="K22" s="22"/>
      <c r="L22" s="22"/>
      <c r="M22" s="22"/>
      <c r="N22" s="22"/>
      <c r="O22" s="22"/>
      <c r="P22" s="22">
        <v>25561</v>
      </c>
      <c r="Q22" s="22">
        <v>4538</v>
      </c>
      <c r="R22" s="22">
        <v>1467</v>
      </c>
      <c r="S22" s="22">
        <v>3.09</v>
      </c>
      <c r="T22" s="28">
        <v>0.18</v>
      </c>
      <c r="U22" s="22">
        <v>13.92</v>
      </c>
      <c r="V22" s="22">
        <v>2.4700000000000002</v>
      </c>
      <c r="W22" s="22"/>
      <c r="X22" s="22"/>
      <c r="Y22" s="22"/>
      <c r="Z22" s="22"/>
      <c r="AA22" s="22"/>
      <c r="AB22" s="22"/>
      <c r="AC22" s="22">
        <v>23845</v>
      </c>
      <c r="AD22" s="22">
        <v>4098</v>
      </c>
      <c r="AE22" s="22">
        <v>1359</v>
      </c>
      <c r="AF22" s="22">
        <v>3.02</v>
      </c>
      <c r="AG22" s="22">
        <v>0.17</v>
      </c>
      <c r="AH22" s="22">
        <v>11.26</v>
      </c>
      <c r="AI22" s="22">
        <v>1.94</v>
      </c>
      <c r="AJ22" s="22"/>
      <c r="AK22" s="22"/>
      <c r="AL22" s="22"/>
      <c r="AM22" s="22"/>
      <c r="AN22" s="22"/>
      <c r="AO22" s="22"/>
      <c r="AP22" s="22">
        <v>26776</v>
      </c>
      <c r="AQ22" s="22">
        <v>4307</v>
      </c>
      <c r="AR22" s="22">
        <v>1485</v>
      </c>
      <c r="AS22" s="22">
        <v>2.9</v>
      </c>
      <c r="AT22" s="22">
        <v>0.16</v>
      </c>
      <c r="AU22" s="22">
        <v>11.42</v>
      </c>
      <c r="AV22" s="22">
        <v>1.84</v>
      </c>
      <c r="AW22" s="22"/>
      <c r="AX22" s="22"/>
      <c r="AY22" s="22"/>
      <c r="AZ22" s="22"/>
      <c r="BA22" s="22"/>
      <c r="BB22" s="22"/>
      <c r="BC22" s="22">
        <v>21635</v>
      </c>
      <c r="BD22" s="22">
        <v>3743</v>
      </c>
      <c r="BE22" s="22">
        <v>1229</v>
      </c>
      <c r="BF22" s="22">
        <v>3.05</v>
      </c>
      <c r="BG22" s="22">
        <v>0.17</v>
      </c>
      <c r="BH22" s="22">
        <v>12.47</v>
      </c>
      <c r="BI22" s="22">
        <v>2.16</v>
      </c>
      <c r="BJ22" s="22"/>
      <c r="BK22" s="22"/>
      <c r="BL22" s="22"/>
      <c r="BM22" s="22"/>
      <c r="BN22" s="22"/>
      <c r="BO22" s="22"/>
      <c r="BP22" s="22">
        <v>21610</v>
      </c>
      <c r="BQ22" s="22">
        <v>3588</v>
      </c>
      <c r="BR22" s="22">
        <v>1211</v>
      </c>
      <c r="BS22" s="22">
        <v>2.96</v>
      </c>
      <c r="BT22" s="22">
        <v>0.12</v>
      </c>
      <c r="BU22" s="22">
        <v>14.18</v>
      </c>
      <c r="BV22" s="22">
        <v>2.35</v>
      </c>
      <c r="BW22" s="22"/>
      <c r="BX22" s="22"/>
      <c r="BY22" s="22"/>
      <c r="BZ22" s="22"/>
      <c r="CA22" s="22"/>
      <c r="CB22" s="22"/>
      <c r="CC22" s="22">
        <v>22599</v>
      </c>
      <c r="CD22" s="22">
        <v>3635</v>
      </c>
      <c r="CE22" s="22">
        <v>1287</v>
      </c>
      <c r="CF22" s="22">
        <v>2.82</v>
      </c>
      <c r="CG22" s="22">
        <v>0.16</v>
      </c>
      <c r="CH22" s="22">
        <v>16.260000000000002</v>
      </c>
      <c r="CI22" s="22">
        <v>2.61</v>
      </c>
      <c r="CJ22" s="22"/>
      <c r="CK22" s="22"/>
      <c r="CL22" s="22"/>
      <c r="CM22" s="22"/>
      <c r="CN22" s="22"/>
      <c r="CO22" s="22"/>
      <c r="CP22" s="22">
        <v>19784</v>
      </c>
      <c r="CQ22" s="22">
        <v>3218</v>
      </c>
      <c r="CR22" s="22">
        <v>1176</v>
      </c>
      <c r="CS22" s="22">
        <v>2.73</v>
      </c>
      <c r="CT22" s="22">
        <v>0.16</v>
      </c>
      <c r="CU22" s="22">
        <v>14.76</v>
      </c>
      <c r="CV22" s="22">
        <v>2.4</v>
      </c>
      <c r="CW22" s="22"/>
      <c r="CX22" s="22"/>
      <c r="CY22" s="22"/>
      <c r="CZ22" s="22"/>
      <c r="DA22" s="22"/>
      <c r="DB22" s="22"/>
      <c r="DC22" s="22">
        <v>24051</v>
      </c>
      <c r="DD22" s="22">
        <v>3821</v>
      </c>
      <c r="DE22" s="22">
        <v>1345</v>
      </c>
      <c r="DF22" s="22">
        <v>2.84</v>
      </c>
      <c r="DG22" s="22">
        <v>0.16</v>
      </c>
      <c r="DH22" s="22">
        <v>12.47</v>
      </c>
      <c r="DI22" s="37">
        <v>1.98</v>
      </c>
      <c r="DJ22" s="22"/>
      <c r="DK22" s="22"/>
      <c r="DL22" s="22"/>
      <c r="DM22" s="22"/>
      <c r="DN22" s="22"/>
      <c r="DO22" s="22"/>
      <c r="DP22" s="22">
        <v>26576</v>
      </c>
      <c r="DQ22" s="22">
        <v>3887</v>
      </c>
      <c r="DR22" s="22">
        <v>1480</v>
      </c>
      <c r="DS22" s="22">
        <v>2.63</v>
      </c>
      <c r="DT22" s="22">
        <v>0.15</v>
      </c>
      <c r="DU22" s="22">
        <v>12.21</v>
      </c>
      <c r="DV22" s="22">
        <v>1.76</v>
      </c>
      <c r="EC22" s="22">
        <v>24651</v>
      </c>
      <c r="ED22" s="22">
        <v>3706</v>
      </c>
      <c r="EE22" s="22">
        <v>1399</v>
      </c>
      <c r="EF22" s="22">
        <v>2.65</v>
      </c>
      <c r="EG22" s="22">
        <v>0.15</v>
      </c>
      <c r="EH22" s="22">
        <v>13.42</v>
      </c>
      <c r="EI22" s="22">
        <v>2.02</v>
      </c>
      <c r="EJ22" s="22"/>
      <c r="EK22" s="22"/>
      <c r="EL22" s="22"/>
      <c r="EM22" s="22"/>
      <c r="EN22" s="22"/>
      <c r="EO22" s="22"/>
      <c r="EP22" s="83">
        <v>23843</v>
      </c>
      <c r="EQ22" s="83">
        <v>4076</v>
      </c>
      <c r="ER22" s="83">
        <v>1369</v>
      </c>
      <c r="ES22" s="83">
        <v>2.98</v>
      </c>
      <c r="ET22" s="83">
        <v>0.17</v>
      </c>
      <c r="EU22" s="83">
        <v>11.32</v>
      </c>
      <c r="EV22" s="83">
        <v>1.94</v>
      </c>
      <c r="EW22" s="83"/>
      <c r="EX22" s="83"/>
      <c r="EY22" s="83"/>
      <c r="EZ22" s="83"/>
      <c r="FA22" s="83"/>
      <c r="FB22" s="83"/>
      <c r="FC22" s="67">
        <v>310000</v>
      </c>
      <c r="FD22" s="67">
        <v>59900</v>
      </c>
      <c r="FE22" s="67">
        <v>17900</v>
      </c>
      <c r="FF22" s="67">
        <v>3.4</v>
      </c>
      <c r="FG22" s="67">
        <v>0.21</v>
      </c>
      <c r="FH22" s="67">
        <v>9.3000000000000007</v>
      </c>
      <c r="FI22" s="67">
        <v>1.92</v>
      </c>
      <c r="FJ22" s="67"/>
      <c r="FK22" s="67"/>
      <c r="FL22" s="67"/>
      <c r="FM22" s="67"/>
      <c r="FN22" s="67"/>
      <c r="FO22" s="67"/>
    </row>
    <row r="23" spans="1:171" x14ac:dyDescent="0.2">
      <c r="A23" s="44">
        <v>22</v>
      </c>
      <c r="B23" s="46" t="s">
        <v>11</v>
      </c>
      <c r="C23" s="22">
        <v>928</v>
      </c>
      <c r="D23" s="22">
        <v>3</v>
      </c>
      <c r="E23" s="22">
        <v>46</v>
      </c>
      <c r="F23" s="22">
        <v>4</v>
      </c>
      <c r="G23" s="22">
        <v>37</v>
      </c>
      <c r="H23" s="22">
        <v>456</v>
      </c>
      <c r="I23" s="22">
        <v>129</v>
      </c>
      <c r="J23" s="22">
        <v>55</v>
      </c>
      <c r="K23" s="22">
        <v>22</v>
      </c>
      <c r="L23" s="22">
        <v>29.9</v>
      </c>
      <c r="M23" s="22"/>
      <c r="N23" s="22"/>
      <c r="O23" s="22"/>
      <c r="P23" s="22">
        <v>970</v>
      </c>
      <c r="Q23" s="22">
        <v>6</v>
      </c>
      <c r="R23" s="22">
        <v>49</v>
      </c>
      <c r="S23" s="22">
        <v>10</v>
      </c>
      <c r="T23" s="28">
        <v>24.4</v>
      </c>
      <c r="U23" s="22">
        <v>344</v>
      </c>
      <c r="V23" s="22">
        <v>61</v>
      </c>
      <c r="W23" s="22">
        <v>63</v>
      </c>
      <c r="X23" s="22">
        <v>22</v>
      </c>
      <c r="Y23" s="22">
        <v>31.3</v>
      </c>
      <c r="Z23" s="22"/>
      <c r="AA23" s="22"/>
      <c r="AB23" s="22"/>
      <c r="AC23" s="22">
        <v>872</v>
      </c>
      <c r="AD23" s="22">
        <v>5</v>
      </c>
      <c r="AE23" s="22">
        <v>47</v>
      </c>
      <c r="AF23" s="22">
        <v>3</v>
      </c>
      <c r="AG23" s="22">
        <v>20.7</v>
      </c>
      <c r="AH23" s="22">
        <v>440</v>
      </c>
      <c r="AI23" s="22">
        <v>121</v>
      </c>
      <c r="AJ23" s="22">
        <v>62</v>
      </c>
      <c r="AK23" s="22">
        <v>20</v>
      </c>
      <c r="AL23" s="22">
        <v>29.1</v>
      </c>
      <c r="AM23" s="22"/>
      <c r="AN23" s="22"/>
      <c r="AO23" s="22"/>
      <c r="AP23" s="22">
        <v>897</v>
      </c>
      <c r="AQ23" s="22">
        <v>3</v>
      </c>
      <c r="AR23" s="22">
        <v>58</v>
      </c>
      <c r="AS23" s="22">
        <v>6</v>
      </c>
      <c r="AT23" s="22">
        <v>16.899999999999999</v>
      </c>
      <c r="AU23" s="22">
        <v>387</v>
      </c>
      <c r="AV23" s="22">
        <v>50</v>
      </c>
      <c r="AW23" s="22">
        <v>74</v>
      </c>
      <c r="AX23" s="22">
        <v>23</v>
      </c>
      <c r="AY23" s="22">
        <v>28.9</v>
      </c>
      <c r="AZ23" s="22"/>
      <c r="BA23" s="22"/>
      <c r="BB23" s="22"/>
      <c r="BC23" s="22">
        <v>900</v>
      </c>
      <c r="BD23" s="22">
        <v>3</v>
      </c>
      <c r="BE23" s="22">
        <v>58</v>
      </c>
      <c r="BF23" s="22">
        <v>1</v>
      </c>
      <c r="BG23" s="22">
        <v>14.4</v>
      </c>
      <c r="BH23" s="22">
        <v>333</v>
      </c>
      <c r="BI23" s="22">
        <v>161</v>
      </c>
      <c r="BJ23" s="22">
        <v>75</v>
      </c>
      <c r="BK23" s="22">
        <v>18</v>
      </c>
      <c r="BL23" s="22">
        <v>30</v>
      </c>
      <c r="BM23" s="22"/>
      <c r="BN23" s="22"/>
      <c r="BO23" s="22"/>
      <c r="BP23" s="22">
        <v>845</v>
      </c>
      <c r="BQ23" s="22">
        <v>7</v>
      </c>
      <c r="BR23" s="22">
        <v>48</v>
      </c>
      <c r="BS23" s="22">
        <v>6</v>
      </c>
      <c r="BT23" s="22">
        <v>15.5</v>
      </c>
      <c r="BU23" s="22">
        <v>355</v>
      </c>
      <c r="BV23" s="22">
        <v>195</v>
      </c>
      <c r="BW23" s="22">
        <v>85</v>
      </c>
      <c r="BX23" s="22">
        <v>19</v>
      </c>
      <c r="BY23" s="22">
        <v>27.3</v>
      </c>
      <c r="BZ23" s="22"/>
      <c r="CA23" s="22"/>
      <c r="CB23" s="22"/>
      <c r="CC23" s="22">
        <v>740</v>
      </c>
      <c r="CD23" s="22">
        <v>4</v>
      </c>
      <c r="CE23" s="22">
        <v>41</v>
      </c>
      <c r="CF23" s="22">
        <v>5</v>
      </c>
      <c r="CG23" s="22">
        <v>15.8</v>
      </c>
      <c r="CH23" s="22">
        <v>399</v>
      </c>
      <c r="CI23" s="22">
        <v>156</v>
      </c>
      <c r="CJ23" s="22">
        <v>143</v>
      </c>
      <c r="CK23" s="22">
        <v>21</v>
      </c>
      <c r="CL23" s="22">
        <v>23.9</v>
      </c>
      <c r="CM23" s="22"/>
      <c r="CN23" s="22"/>
      <c r="CO23" s="22"/>
      <c r="CP23" s="22">
        <v>752</v>
      </c>
      <c r="CQ23" s="22">
        <v>1</v>
      </c>
      <c r="CR23" s="22">
        <v>30</v>
      </c>
      <c r="CS23" s="22">
        <v>2</v>
      </c>
      <c r="CT23" s="22">
        <v>15.1</v>
      </c>
      <c r="CU23" s="22">
        <v>321</v>
      </c>
      <c r="CV23" s="22">
        <v>148</v>
      </c>
      <c r="CW23" s="22">
        <v>111</v>
      </c>
      <c r="CX23" s="22">
        <v>18</v>
      </c>
      <c r="CY23" s="22">
        <v>26.9</v>
      </c>
      <c r="CZ23" s="22"/>
      <c r="DA23" s="22"/>
      <c r="DB23" s="22"/>
      <c r="DC23" s="22">
        <v>800</v>
      </c>
      <c r="DD23" s="22">
        <v>3</v>
      </c>
      <c r="DE23" s="22">
        <v>38</v>
      </c>
      <c r="DF23" s="22">
        <v>0</v>
      </c>
      <c r="DG23" s="22">
        <v>15.4</v>
      </c>
      <c r="DH23" s="22">
        <v>347</v>
      </c>
      <c r="DI23" s="22">
        <v>186</v>
      </c>
      <c r="DJ23" s="22">
        <v>124</v>
      </c>
      <c r="DK23" s="22">
        <v>21</v>
      </c>
      <c r="DL23" s="22">
        <v>25.8</v>
      </c>
      <c r="DM23" s="22"/>
      <c r="DN23" s="22"/>
      <c r="DO23" s="22"/>
      <c r="DP23" s="22">
        <v>882</v>
      </c>
      <c r="DQ23" s="22">
        <v>2</v>
      </c>
      <c r="DR23" s="22">
        <v>49</v>
      </c>
      <c r="DS23" s="22">
        <v>0</v>
      </c>
      <c r="DT23" s="22">
        <v>17.600000000000001</v>
      </c>
      <c r="DU23" s="22">
        <v>425</v>
      </c>
      <c r="DV23" s="22">
        <v>150</v>
      </c>
      <c r="DW23" s="22">
        <v>122</v>
      </c>
      <c r="DX23" s="22">
        <v>21</v>
      </c>
      <c r="DY23" s="22">
        <v>29.4</v>
      </c>
      <c r="EC23" s="22">
        <v>956</v>
      </c>
      <c r="ED23" s="22">
        <v>8</v>
      </c>
      <c r="EE23" s="22">
        <v>57</v>
      </c>
      <c r="EF23" s="22">
        <v>0</v>
      </c>
      <c r="EG23" s="22">
        <v>20.9</v>
      </c>
      <c r="EH23" s="22">
        <v>453</v>
      </c>
      <c r="EI23" s="22">
        <v>77</v>
      </c>
      <c r="EJ23" s="22">
        <v>90</v>
      </c>
      <c r="EK23" s="22">
        <v>21</v>
      </c>
      <c r="EL23" s="22">
        <v>30.8</v>
      </c>
      <c r="EM23" s="22"/>
      <c r="EN23" s="22"/>
      <c r="EO23" s="22"/>
      <c r="EP23" s="83">
        <v>991</v>
      </c>
      <c r="EQ23" s="83">
        <v>7</v>
      </c>
      <c r="ER23" s="83">
        <v>74</v>
      </c>
      <c r="ES23" s="83">
        <v>2</v>
      </c>
      <c r="ET23" s="83">
        <v>24.1</v>
      </c>
      <c r="EU23" s="83">
        <v>368</v>
      </c>
      <c r="EV23" s="83">
        <v>98</v>
      </c>
      <c r="EW23" s="83">
        <v>51</v>
      </c>
      <c r="EX23" s="83">
        <v>21</v>
      </c>
      <c r="EY23" s="83">
        <v>33</v>
      </c>
      <c r="EZ23" s="83"/>
      <c r="FA23" s="83"/>
      <c r="FB23" s="83"/>
      <c r="FC23" s="67">
        <v>12600</v>
      </c>
      <c r="FD23" s="67">
        <v>65</v>
      </c>
      <c r="FE23" s="67">
        <v>590</v>
      </c>
      <c r="FF23" s="67">
        <v>23</v>
      </c>
      <c r="FG23" s="67">
        <v>25</v>
      </c>
      <c r="FH23" s="67">
        <v>6700</v>
      </c>
      <c r="FI23" s="67">
        <v>2300</v>
      </c>
      <c r="FJ23" s="67">
        <v>750</v>
      </c>
      <c r="FK23" s="67">
        <v>20.5</v>
      </c>
      <c r="FL23" s="67">
        <v>34.6</v>
      </c>
      <c r="FM23" s="67"/>
      <c r="FN23" s="67"/>
      <c r="FO23" s="67"/>
    </row>
    <row r="24" spans="1:171" x14ac:dyDescent="0.2">
      <c r="A24" s="44">
        <v>23</v>
      </c>
      <c r="B24" s="46" t="s">
        <v>237</v>
      </c>
      <c r="C24" s="22">
        <v>302</v>
      </c>
      <c r="D24" s="22">
        <v>101</v>
      </c>
      <c r="E24" s="22">
        <v>93</v>
      </c>
      <c r="F24" s="22">
        <v>39</v>
      </c>
      <c r="G24" s="22">
        <v>4.45</v>
      </c>
      <c r="H24" s="22">
        <v>1813</v>
      </c>
      <c r="I24" s="22">
        <v>82</v>
      </c>
      <c r="J24" s="22"/>
      <c r="K24" s="22"/>
      <c r="L24" s="22"/>
      <c r="M24" s="22"/>
      <c r="N24" s="22"/>
      <c r="O24" s="22"/>
      <c r="P24" s="22">
        <v>312</v>
      </c>
      <c r="Q24" s="22">
        <v>97</v>
      </c>
      <c r="R24" s="22">
        <v>83</v>
      </c>
      <c r="S24" s="22">
        <v>42</v>
      </c>
      <c r="T24" s="28">
        <v>4.45</v>
      </c>
      <c r="U24" s="22">
        <v>1829</v>
      </c>
      <c r="V24" s="22">
        <v>83</v>
      </c>
      <c r="W24" s="22"/>
      <c r="X24" s="22"/>
      <c r="Y24" s="22"/>
      <c r="Z24" s="22"/>
      <c r="AA24" s="22"/>
      <c r="AB24" s="22"/>
      <c r="AC24" s="22">
        <v>314</v>
      </c>
      <c r="AD24" s="22">
        <v>97</v>
      </c>
      <c r="AE24" s="22">
        <v>92</v>
      </c>
      <c r="AF24" s="22">
        <v>43</v>
      </c>
      <c r="AG24" s="22">
        <v>4.45</v>
      </c>
      <c r="AH24" s="22">
        <v>2124</v>
      </c>
      <c r="AI24" s="22">
        <v>106</v>
      </c>
      <c r="AJ24" s="22"/>
      <c r="AK24" s="22"/>
      <c r="AL24" s="22"/>
      <c r="AM24" s="22"/>
      <c r="AN24" s="22"/>
      <c r="AO24" s="22"/>
      <c r="AP24" s="22">
        <v>306</v>
      </c>
      <c r="AQ24" s="22">
        <v>96</v>
      </c>
      <c r="AR24" s="22">
        <v>101</v>
      </c>
      <c r="AS24" s="22">
        <v>43</v>
      </c>
      <c r="AT24" s="22">
        <v>4.45</v>
      </c>
      <c r="AU24" s="22">
        <v>2549</v>
      </c>
      <c r="AV24" s="22">
        <v>111</v>
      </c>
      <c r="AW24" s="22"/>
      <c r="AX24" s="22"/>
      <c r="AY24" s="22"/>
      <c r="AZ24" s="22"/>
      <c r="BA24" s="22"/>
      <c r="BB24" s="22"/>
      <c r="BC24" s="22">
        <v>283</v>
      </c>
      <c r="BD24" s="22">
        <v>89</v>
      </c>
      <c r="BE24" s="22">
        <v>87</v>
      </c>
      <c r="BF24" s="22">
        <v>38</v>
      </c>
      <c r="BG24" s="22">
        <v>4.45</v>
      </c>
      <c r="BH24" s="22">
        <v>2499</v>
      </c>
      <c r="BI24" s="22">
        <v>139</v>
      </c>
      <c r="BJ24" s="22"/>
      <c r="BK24" s="22"/>
      <c r="BL24" s="22"/>
      <c r="BM24" s="22"/>
      <c r="BN24" s="22"/>
      <c r="BO24" s="22"/>
      <c r="BP24" s="22">
        <v>275</v>
      </c>
      <c r="BQ24" s="22">
        <v>87</v>
      </c>
      <c r="BR24" s="22">
        <v>79</v>
      </c>
      <c r="BS24" s="22">
        <v>36</v>
      </c>
      <c r="BT24" s="22">
        <v>4.45</v>
      </c>
      <c r="BU24" s="22">
        <v>1692</v>
      </c>
      <c r="BV24" s="22">
        <v>89</v>
      </c>
      <c r="BW24" s="22"/>
      <c r="BX24" s="22"/>
      <c r="BY24" s="22"/>
      <c r="BZ24" s="22"/>
      <c r="CA24" s="22"/>
      <c r="CB24" s="22"/>
      <c r="CC24" s="22">
        <v>272</v>
      </c>
      <c r="CD24" s="22">
        <v>98</v>
      </c>
      <c r="CE24" s="22">
        <v>92</v>
      </c>
      <c r="CF24" s="22">
        <v>43</v>
      </c>
      <c r="CG24" s="22">
        <v>4.45</v>
      </c>
      <c r="CH24" s="22">
        <v>1688</v>
      </c>
      <c r="CI24" s="22">
        <v>80</v>
      </c>
      <c r="CJ24" s="22"/>
      <c r="CK24" s="22"/>
      <c r="CL24" s="22"/>
      <c r="CM24" s="22"/>
      <c r="CN24" s="22"/>
      <c r="CO24" s="22"/>
      <c r="CP24" s="22">
        <v>277</v>
      </c>
      <c r="CQ24" s="22">
        <v>91</v>
      </c>
      <c r="CR24" s="22">
        <v>59</v>
      </c>
      <c r="CS24" s="22">
        <v>42</v>
      </c>
      <c r="CT24" s="22">
        <v>4.45</v>
      </c>
      <c r="CU24" s="22">
        <v>1736</v>
      </c>
      <c r="CV24" s="22">
        <v>99</v>
      </c>
      <c r="CW24" s="22"/>
      <c r="CX24" s="22"/>
      <c r="CY24" s="22"/>
      <c r="CZ24" s="22"/>
      <c r="DA24" s="22"/>
      <c r="DB24" s="22"/>
      <c r="DC24" s="22">
        <v>286</v>
      </c>
      <c r="DD24" s="22">
        <v>90</v>
      </c>
      <c r="DE24" s="22">
        <v>92</v>
      </c>
      <c r="DF24" s="22">
        <v>44</v>
      </c>
      <c r="DG24" s="22">
        <v>4.45</v>
      </c>
      <c r="DH24" s="22">
        <v>2116</v>
      </c>
      <c r="DI24" s="22">
        <v>101</v>
      </c>
      <c r="DJ24" s="22"/>
      <c r="DK24" s="22"/>
      <c r="DL24" s="22"/>
      <c r="DM24" s="22"/>
      <c r="DN24" s="22"/>
      <c r="DO24" s="22"/>
      <c r="DP24" s="22">
        <v>274</v>
      </c>
      <c r="DQ24" s="22">
        <v>91</v>
      </c>
      <c r="DR24" s="22">
        <v>80</v>
      </c>
      <c r="DS24" s="22">
        <v>53</v>
      </c>
      <c r="DT24" s="22">
        <v>4.45</v>
      </c>
      <c r="DU24" s="22">
        <v>1849</v>
      </c>
      <c r="DV24" s="22">
        <v>88</v>
      </c>
      <c r="DW24" s="22"/>
      <c r="DX24" s="22"/>
      <c r="DY24" s="22"/>
      <c r="DZ24" s="22"/>
      <c r="EA24" s="22"/>
      <c r="EB24" s="22"/>
      <c r="EC24" s="22">
        <v>286</v>
      </c>
      <c r="ED24" s="22">
        <v>87</v>
      </c>
      <c r="EE24" s="22">
        <v>73</v>
      </c>
      <c r="EF24" s="22">
        <v>46</v>
      </c>
      <c r="EG24" s="22">
        <v>4.45</v>
      </c>
      <c r="EH24" s="22">
        <v>1646</v>
      </c>
      <c r="EI24" s="22">
        <v>78</v>
      </c>
      <c r="EJ24" s="22"/>
      <c r="EK24" s="22"/>
      <c r="EL24" s="22"/>
      <c r="EM24" s="22"/>
      <c r="EN24" s="22"/>
      <c r="EO24" s="22"/>
      <c r="EP24" s="83">
        <v>283</v>
      </c>
      <c r="EQ24" s="83">
        <v>93</v>
      </c>
      <c r="ER24" s="83">
        <v>75</v>
      </c>
      <c r="ES24" s="83">
        <v>41</v>
      </c>
      <c r="ET24" s="83">
        <v>4.45</v>
      </c>
      <c r="EU24" s="83">
        <v>1385</v>
      </c>
      <c r="EV24" s="83">
        <v>66</v>
      </c>
      <c r="EW24" s="83"/>
      <c r="EX24" s="83"/>
      <c r="EY24" s="83"/>
      <c r="EZ24" s="83"/>
      <c r="FA24" s="83"/>
      <c r="FB24" s="83"/>
      <c r="FC24" s="67">
        <v>4225</v>
      </c>
      <c r="FD24" s="67">
        <v>1200</v>
      </c>
      <c r="FE24" s="67">
        <v>1050</v>
      </c>
      <c r="FF24" s="67">
        <v>800</v>
      </c>
      <c r="FG24" s="67">
        <v>4.45</v>
      </c>
      <c r="FH24" s="67">
        <v>22000</v>
      </c>
      <c r="FI24" s="67">
        <v>89</v>
      </c>
      <c r="FJ24" s="67"/>
      <c r="FK24" s="67"/>
      <c r="FL24" s="67"/>
      <c r="FM24" s="67"/>
      <c r="FN24" s="67"/>
      <c r="FO24" s="67"/>
    </row>
    <row r="25" spans="1:171" x14ac:dyDescent="0.2">
      <c r="A25" s="44">
        <v>24</v>
      </c>
      <c r="B25" s="46" t="s">
        <v>12</v>
      </c>
      <c r="C25" s="22">
        <v>59</v>
      </c>
      <c r="D25" s="22">
        <v>66.78</v>
      </c>
      <c r="E25" s="22">
        <v>0</v>
      </c>
      <c r="F25" s="22">
        <v>36.799999999999997</v>
      </c>
      <c r="G25" s="22">
        <v>4553</v>
      </c>
      <c r="H25" s="22">
        <v>207</v>
      </c>
      <c r="I25" s="22">
        <v>100</v>
      </c>
      <c r="J25" s="22">
        <v>100</v>
      </c>
      <c r="K25" s="22">
        <v>96.7</v>
      </c>
      <c r="L25" s="22">
        <v>100</v>
      </c>
      <c r="M25" s="22">
        <v>171</v>
      </c>
      <c r="N25" s="22"/>
      <c r="O25" s="22"/>
      <c r="P25" s="22">
        <v>77</v>
      </c>
      <c r="Q25" s="22">
        <v>66.97</v>
      </c>
      <c r="R25" s="22">
        <v>0</v>
      </c>
      <c r="S25" s="22">
        <v>26.09</v>
      </c>
      <c r="T25" s="28">
        <v>4595</v>
      </c>
      <c r="U25" s="22">
        <v>209</v>
      </c>
      <c r="V25" s="22">
        <v>100</v>
      </c>
      <c r="W25" s="22">
        <v>100</v>
      </c>
      <c r="X25" s="22">
        <v>99</v>
      </c>
      <c r="Y25" s="22">
        <v>100</v>
      </c>
      <c r="Z25" s="22">
        <v>195</v>
      </c>
      <c r="AA25" s="22"/>
      <c r="AB25" s="22"/>
      <c r="AC25" s="22">
        <v>87</v>
      </c>
      <c r="AD25" s="22">
        <v>66.48</v>
      </c>
      <c r="AE25" s="22">
        <v>0</v>
      </c>
      <c r="AF25" s="22">
        <v>14.29</v>
      </c>
      <c r="AG25" s="22">
        <v>4119</v>
      </c>
      <c r="AH25" s="22">
        <v>206</v>
      </c>
      <c r="AI25" s="22">
        <v>100</v>
      </c>
      <c r="AJ25" s="22">
        <v>95</v>
      </c>
      <c r="AK25" s="22">
        <v>97.7</v>
      </c>
      <c r="AL25" s="22">
        <v>97.7</v>
      </c>
      <c r="AM25" s="22">
        <v>206</v>
      </c>
      <c r="AN25" s="22"/>
      <c r="AO25" s="22"/>
      <c r="AP25" s="22">
        <v>97</v>
      </c>
      <c r="AQ25" s="22">
        <v>65.900000000000006</v>
      </c>
      <c r="AR25" s="22">
        <v>0</v>
      </c>
      <c r="AS25" s="22">
        <v>25</v>
      </c>
      <c r="AT25" s="22">
        <v>4015</v>
      </c>
      <c r="AU25" s="22">
        <v>175</v>
      </c>
      <c r="AV25" s="22">
        <v>100</v>
      </c>
      <c r="AW25" s="22">
        <v>94</v>
      </c>
      <c r="AX25" s="22">
        <v>97.3</v>
      </c>
      <c r="AY25" s="22">
        <v>97.3</v>
      </c>
      <c r="AZ25" s="22">
        <v>212</v>
      </c>
      <c r="BA25" s="22"/>
      <c r="BB25" s="22"/>
      <c r="BC25" s="22">
        <v>72</v>
      </c>
      <c r="BD25" s="22">
        <v>66.260000000000005</v>
      </c>
      <c r="BE25" s="22">
        <v>10</v>
      </c>
      <c r="BF25" s="22">
        <v>6.7</v>
      </c>
      <c r="BG25" s="22">
        <v>3479</v>
      </c>
      <c r="BH25" s="22">
        <v>193</v>
      </c>
      <c r="BI25" s="22">
        <v>100</v>
      </c>
      <c r="BJ25" s="22">
        <v>100</v>
      </c>
      <c r="BK25" s="22">
        <v>97.3</v>
      </c>
      <c r="BL25" s="22">
        <v>100</v>
      </c>
      <c r="BM25" s="22">
        <v>154</v>
      </c>
      <c r="BP25" s="22">
        <v>82</v>
      </c>
      <c r="BQ25" s="22">
        <v>66</v>
      </c>
      <c r="BR25" s="22">
        <v>0</v>
      </c>
      <c r="BS25" s="22">
        <v>24</v>
      </c>
      <c r="BT25" s="22">
        <v>3924</v>
      </c>
      <c r="BU25" s="22">
        <v>207</v>
      </c>
      <c r="BV25" s="22">
        <v>100</v>
      </c>
      <c r="BW25" s="22">
        <v>85</v>
      </c>
      <c r="BX25" s="22">
        <v>86</v>
      </c>
      <c r="BY25" s="22">
        <v>100</v>
      </c>
      <c r="BZ25" s="22">
        <v>152</v>
      </c>
      <c r="CA25" s="22"/>
      <c r="CB25" s="22"/>
      <c r="CC25" s="22">
        <v>77</v>
      </c>
      <c r="CD25" s="22">
        <v>65.86</v>
      </c>
      <c r="CE25" s="22">
        <v>0</v>
      </c>
      <c r="CF25" s="22">
        <v>23.8</v>
      </c>
      <c r="CG25" s="22">
        <v>4259</v>
      </c>
      <c r="CH25" s="22">
        <v>203</v>
      </c>
      <c r="CI25" s="22">
        <v>100</v>
      </c>
      <c r="CJ25" s="22">
        <v>100</v>
      </c>
      <c r="CK25" s="22">
        <v>74.7</v>
      </c>
      <c r="CL25" s="22">
        <v>100</v>
      </c>
      <c r="CM25" s="22">
        <v>170</v>
      </c>
      <c r="CN25" s="22"/>
      <c r="CO25" s="22"/>
      <c r="CP25" s="22">
        <v>62</v>
      </c>
      <c r="CQ25" s="22">
        <v>65.66</v>
      </c>
      <c r="CR25" s="22">
        <v>0</v>
      </c>
      <c r="CS25" s="22">
        <v>18.2</v>
      </c>
      <c r="CT25" s="22">
        <v>4033</v>
      </c>
      <c r="CU25" s="22">
        <v>230</v>
      </c>
      <c r="CV25" s="22">
        <v>100</v>
      </c>
      <c r="CW25" s="22">
        <v>64</v>
      </c>
      <c r="CX25" s="22">
        <v>66.3</v>
      </c>
      <c r="CY25" s="22">
        <v>97.3</v>
      </c>
      <c r="CZ25" s="22">
        <v>172</v>
      </c>
      <c r="DA25" s="22"/>
      <c r="DB25" s="22"/>
      <c r="DC25" s="22">
        <v>74</v>
      </c>
      <c r="DD25" s="22">
        <v>65.59</v>
      </c>
      <c r="DE25" s="22">
        <v>15</v>
      </c>
      <c r="DF25" s="22">
        <v>25</v>
      </c>
      <c r="DG25" s="22">
        <v>4012</v>
      </c>
      <c r="DH25" s="22">
        <v>191</v>
      </c>
      <c r="DI25" s="22">
        <v>100</v>
      </c>
      <c r="DJ25" s="22">
        <v>90</v>
      </c>
      <c r="DK25" s="22">
        <v>57.3</v>
      </c>
      <c r="DL25" s="22">
        <v>97.7</v>
      </c>
      <c r="DM25" s="22">
        <v>142</v>
      </c>
      <c r="DN25" s="22"/>
      <c r="DO25" s="22"/>
      <c r="DP25" s="22">
        <v>73</v>
      </c>
      <c r="DQ25" s="22">
        <v>65.510000000000005</v>
      </c>
      <c r="DR25" s="22">
        <v>0</v>
      </c>
      <c r="DS25" s="22">
        <v>35.299999999999997</v>
      </c>
      <c r="DT25" s="22">
        <v>3514</v>
      </c>
      <c r="DU25" s="22">
        <v>167</v>
      </c>
      <c r="DV25" s="22">
        <v>89.4</v>
      </c>
      <c r="DW25" s="22">
        <v>83</v>
      </c>
      <c r="DX25" s="22">
        <v>89</v>
      </c>
      <c r="DY25" s="22">
        <v>94.3</v>
      </c>
      <c r="DZ25" s="22">
        <v>52</v>
      </c>
      <c r="EA25" s="22"/>
      <c r="EB25" s="22"/>
      <c r="EC25" s="22">
        <v>84</v>
      </c>
      <c r="ED25" s="22">
        <v>65.67</v>
      </c>
      <c r="EE25" s="22">
        <v>0</v>
      </c>
      <c r="EF25" s="22">
        <v>25</v>
      </c>
      <c r="EG25" s="22">
        <v>3488</v>
      </c>
      <c r="EH25" s="22">
        <v>166</v>
      </c>
      <c r="EI25" s="22">
        <v>89.4</v>
      </c>
      <c r="EJ25" s="22">
        <v>71</v>
      </c>
      <c r="EK25" s="22">
        <v>78.3</v>
      </c>
      <c r="EL25" s="22">
        <v>96</v>
      </c>
      <c r="EM25" s="22">
        <v>101</v>
      </c>
      <c r="EN25" s="22"/>
      <c r="EO25" s="22"/>
      <c r="EP25" s="86">
        <v>92</v>
      </c>
      <c r="EQ25" s="86">
        <v>65.849999999999994</v>
      </c>
      <c r="ER25" s="86">
        <v>0</v>
      </c>
      <c r="ES25" s="86">
        <v>17.649999999999999</v>
      </c>
      <c r="ET25" s="86">
        <v>3280</v>
      </c>
      <c r="EU25" s="86">
        <v>156</v>
      </c>
      <c r="EV25" s="86">
        <v>91</v>
      </c>
      <c r="EW25" s="86">
        <v>92</v>
      </c>
      <c r="EX25" s="86">
        <v>78.3</v>
      </c>
      <c r="EY25" s="86">
        <v>92.3</v>
      </c>
      <c r="EZ25" s="86">
        <v>135</v>
      </c>
      <c r="FA25" s="83"/>
      <c r="FB25" s="83"/>
      <c r="FC25" s="67">
        <v>900</v>
      </c>
      <c r="FD25" s="67">
        <v>66.5</v>
      </c>
      <c r="FE25" s="67">
        <v>5.0999999999999996</v>
      </c>
      <c r="FF25" s="67">
        <v>40</v>
      </c>
      <c r="FG25" s="67">
        <v>49800</v>
      </c>
      <c r="FH25" s="67">
        <v>208</v>
      </c>
      <c r="FI25" s="67">
        <v>92</v>
      </c>
      <c r="FJ25" s="67">
        <v>99.5</v>
      </c>
      <c r="FK25" s="67">
        <v>98.7</v>
      </c>
      <c r="FL25" s="67">
        <v>98.8</v>
      </c>
      <c r="FM25" s="67">
        <v>205</v>
      </c>
      <c r="FN25" s="67"/>
      <c r="FO25" s="67"/>
    </row>
    <row r="26" spans="1:171" s="18" customFormat="1" x14ac:dyDescent="0.2">
      <c r="A26" s="45">
        <v>25</v>
      </c>
      <c r="B26" s="46" t="s">
        <v>13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81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S26" s="66"/>
      <c r="DT26" s="66"/>
      <c r="DU26" s="66"/>
      <c r="DV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</row>
    <row r="27" spans="1:171" x14ac:dyDescent="0.2">
      <c r="A27" s="44">
        <v>26</v>
      </c>
      <c r="B27" s="46" t="s">
        <v>14</v>
      </c>
      <c r="C27" s="22">
        <v>0</v>
      </c>
      <c r="D27" s="22">
        <v>77</v>
      </c>
      <c r="E27" s="22">
        <v>0</v>
      </c>
      <c r="F27" s="22">
        <v>94.56</v>
      </c>
      <c r="G27" s="22">
        <v>0</v>
      </c>
      <c r="H27" s="22">
        <v>0</v>
      </c>
      <c r="I27" s="22"/>
      <c r="J27" s="22"/>
      <c r="K27" s="22"/>
      <c r="L27" s="22"/>
      <c r="M27" s="22"/>
      <c r="N27" s="22"/>
      <c r="O27" s="22"/>
      <c r="P27" s="22">
        <v>1</v>
      </c>
      <c r="Q27" s="22">
        <v>38</v>
      </c>
      <c r="R27" s="22">
        <v>0</v>
      </c>
      <c r="S27" s="22">
        <v>94.56</v>
      </c>
      <c r="T27" s="28">
        <v>6.1</v>
      </c>
      <c r="U27" s="22">
        <v>0</v>
      </c>
      <c r="V27" s="22"/>
      <c r="W27" s="22"/>
      <c r="X27" s="22"/>
      <c r="Y27" s="22"/>
      <c r="Z27" s="22"/>
      <c r="AA27" s="22"/>
      <c r="AB27" s="22"/>
      <c r="AC27" s="22">
        <v>0</v>
      </c>
      <c r="AD27" s="22">
        <v>57</v>
      </c>
      <c r="AE27" s="22">
        <v>0</v>
      </c>
      <c r="AF27" s="22">
        <v>98.7</v>
      </c>
      <c r="AG27" s="22">
        <v>0</v>
      </c>
      <c r="AH27" s="22">
        <v>0</v>
      </c>
      <c r="AI27" s="22"/>
      <c r="AJ27" s="22"/>
      <c r="AK27" s="22"/>
      <c r="AL27" s="22"/>
      <c r="AM27" s="22"/>
      <c r="AN27" s="22"/>
      <c r="AO27" s="22"/>
      <c r="AP27" s="22">
        <v>0</v>
      </c>
      <c r="AQ27" s="22">
        <v>76</v>
      </c>
      <c r="AR27" s="22">
        <v>0</v>
      </c>
      <c r="AS27" s="22">
        <v>98.7</v>
      </c>
      <c r="AT27" s="22">
        <v>1.2999999999999999E-2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>
        <v>0</v>
      </c>
      <c r="BD27" s="22">
        <v>44</v>
      </c>
      <c r="BE27" s="22">
        <v>0</v>
      </c>
      <c r="BF27" s="22">
        <v>95.2</v>
      </c>
      <c r="BG27" s="22">
        <v>3.0000000000000001E-3</v>
      </c>
      <c r="BH27" s="22">
        <v>0</v>
      </c>
      <c r="BI27" s="22"/>
      <c r="BJ27" s="22"/>
      <c r="BK27" s="22"/>
      <c r="BL27" s="22"/>
      <c r="BM27" s="22"/>
      <c r="BN27" s="22"/>
      <c r="BO27" s="22"/>
      <c r="BP27" s="22">
        <v>0</v>
      </c>
      <c r="BQ27" s="22">
        <v>47</v>
      </c>
      <c r="BR27" s="22">
        <v>0</v>
      </c>
      <c r="BS27" s="22">
        <v>95.2</v>
      </c>
      <c r="BT27" s="66">
        <v>0.308</v>
      </c>
      <c r="BU27" s="22"/>
      <c r="BV27" s="22"/>
      <c r="BW27" s="22"/>
      <c r="BX27" s="22"/>
      <c r="BY27" s="22"/>
      <c r="BZ27" s="22"/>
      <c r="CA27" s="22"/>
      <c r="CB27" s="22"/>
      <c r="CC27" s="22">
        <v>0</v>
      </c>
      <c r="CD27" s="22">
        <v>44</v>
      </c>
      <c r="CE27" s="22">
        <v>0</v>
      </c>
      <c r="CF27" s="22">
        <v>95.5</v>
      </c>
      <c r="CG27" s="22">
        <v>3.61</v>
      </c>
      <c r="CH27" s="22"/>
      <c r="CI27" s="22"/>
      <c r="CJ27" s="22"/>
      <c r="CK27" s="22"/>
      <c r="CL27" s="22"/>
      <c r="CM27" s="22"/>
      <c r="CN27" s="22"/>
      <c r="CO27" s="22"/>
      <c r="CP27" s="22">
        <v>0</v>
      </c>
      <c r="CQ27" s="22">
        <v>39</v>
      </c>
      <c r="CR27" s="22">
        <v>0</v>
      </c>
      <c r="CS27" s="22">
        <v>95</v>
      </c>
      <c r="CT27" s="22">
        <v>2.14</v>
      </c>
      <c r="CU27" s="22">
        <v>0</v>
      </c>
      <c r="CV27" s="22"/>
      <c r="CW27" s="22"/>
      <c r="CX27" s="22"/>
      <c r="CY27" s="22"/>
      <c r="CZ27" s="22"/>
      <c r="DA27" s="22"/>
      <c r="DB27" s="22"/>
      <c r="DC27" s="22">
        <v>0</v>
      </c>
      <c r="DD27" s="22">
        <v>33</v>
      </c>
      <c r="DE27" s="22">
        <v>0</v>
      </c>
      <c r="DF27" s="22">
        <v>95.5</v>
      </c>
      <c r="DG27" s="22">
        <v>0.55000000000000004</v>
      </c>
      <c r="DH27" s="22">
        <v>0</v>
      </c>
      <c r="DI27" s="22"/>
      <c r="DJ27" s="22"/>
      <c r="DK27" s="22"/>
      <c r="DL27" s="22"/>
      <c r="DM27" s="22"/>
      <c r="DN27" s="22"/>
      <c r="DO27" s="22"/>
      <c r="DP27" s="22">
        <v>0</v>
      </c>
      <c r="DQ27">
        <v>35</v>
      </c>
      <c r="DR27">
        <v>0</v>
      </c>
      <c r="DS27" s="22">
        <v>95.5</v>
      </c>
      <c r="DT27" s="22">
        <v>0.77</v>
      </c>
      <c r="DU27" s="22"/>
      <c r="EC27" s="22">
        <v>0</v>
      </c>
      <c r="ED27" s="22">
        <v>33</v>
      </c>
      <c r="EE27" s="22">
        <v>0</v>
      </c>
      <c r="EF27" s="66">
        <v>95.5</v>
      </c>
      <c r="EG27" s="66">
        <v>0.35</v>
      </c>
      <c r="EH27" s="22"/>
      <c r="EI27" s="22"/>
      <c r="EJ27" s="22"/>
      <c r="EK27" s="22"/>
      <c r="EL27" s="22"/>
      <c r="EM27" s="22"/>
      <c r="EN27" s="22"/>
      <c r="EO27" s="22"/>
      <c r="EP27" s="83">
        <v>0</v>
      </c>
      <c r="EQ27" s="83">
        <v>37</v>
      </c>
      <c r="ER27" s="83">
        <v>0</v>
      </c>
      <c r="ES27" s="83">
        <v>92.5</v>
      </c>
      <c r="ET27" s="83">
        <v>0.3</v>
      </c>
      <c r="EU27" s="83"/>
      <c r="EV27" s="83"/>
      <c r="EW27" s="83"/>
      <c r="EX27" s="83"/>
      <c r="EY27" s="83"/>
      <c r="EZ27" s="83"/>
      <c r="FA27" s="83"/>
      <c r="FB27" s="83"/>
      <c r="FC27" s="67">
        <v>5</v>
      </c>
      <c r="FD27" s="67">
        <v>275</v>
      </c>
      <c r="FE27" s="67">
        <v>5</v>
      </c>
      <c r="FF27" s="67">
        <v>98.7</v>
      </c>
      <c r="FG27" s="67">
        <v>1.5</v>
      </c>
      <c r="FH27" s="67">
        <v>0.5</v>
      </c>
      <c r="FI27" s="67"/>
      <c r="FJ27" s="67"/>
      <c r="FK27" s="67"/>
      <c r="FL27" s="67"/>
      <c r="FM27" s="67"/>
      <c r="FN27" s="67"/>
      <c r="FO27" s="67"/>
    </row>
    <row r="28" spans="1:171" x14ac:dyDescent="0.2">
      <c r="A28" s="44">
        <v>27</v>
      </c>
      <c r="B28" s="46" t="s">
        <v>15</v>
      </c>
      <c r="C28" s="22">
        <v>353</v>
      </c>
      <c r="D28" s="22">
        <v>877</v>
      </c>
      <c r="E28" s="22">
        <v>0.7</v>
      </c>
      <c r="F28" s="22">
        <v>52.29</v>
      </c>
      <c r="G28" s="22">
        <v>1.78</v>
      </c>
      <c r="H28" s="22">
        <v>0</v>
      </c>
      <c r="I28" s="22">
        <v>2454</v>
      </c>
      <c r="J28" s="22">
        <v>0</v>
      </c>
      <c r="K28" s="22">
        <v>2</v>
      </c>
      <c r="L28" s="22"/>
      <c r="M28" s="22"/>
      <c r="N28" s="22"/>
      <c r="O28" s="22"/>
      <c r="P28" s="22">
        <v>197</v>
      </c>
      <c r="Q28" s="22">
        <v>0</v>
      </c>
      <c r="R28" s="22">
        <v>40.950000000000003</v>
      </c>
      <c r="S28" s="22">
        <v>58.65</v>
      </c>
      <c r="T28" s="28">
        <v>41.49</v>
      </c>
      <c r="U28" s="22">
        <v>0</v>
      </c>
      <c r="V28" s="22">
        <v>283</v>
      </c>
      <c r="W28" s="22">
        <v>0</v>
      </c>
      <c r="X28" s="22">
        <v>0</v>
      </c>
      <c r="Y28" s="22"/>
      <c r="Z28" s="22"/>
      <c r="AA28" s="22"/>
      <c r="AB28" s="22"/>
      <c r="AC28" s="22">
        <v>564</v>
      </c>
      <c r="AD28" s="22">
        <v>1432</v>
      </c>
      <c r="AE28" s="22">
        <v>59.65</v>
      </c>
      <c r="AF28" s="22">
        <v>62.93</v>
      </c>
      <c r="AG28" s="22">
        <v>59.7</v>
      </c>
      <c r="AH28" s="22">
        <v>0</v>
      </c>
      <c r="AI28" s="22">
        <v>394</v>
      </c>
      <c r="AJ28" s="22">
        <v>0</v>
      </c>
      <c r="AK28" s="22">
        <v>50</v>
      </c>
      <c r="AL28" s="22"/>
      <c r="AM28" s="22"/>
      <c r="AN28" s="22"/>
      <c r="AO28" s="22"/>
      <c r="AP28" s="22">
        <v>332</v>
      </c>
      <c r="AQ28" s="22">
        <v>599</v>
      </c>
      <c r="AR28" s="22">
        <v>62.18</v>
      </c>
      <c r="AS28" s="22">
        <v>66.260000000000005</v>
      </c>
      <c r="AT28" s="22">
        <v>62.3</v>
      </c>
      <c r="AU28" s="22">
        <v>0</v>
      </c>
      <c r="AV28" s="22">
        <v>3159</v>
      </c>
      <c r="AW28" s="22">
        <v>0</v>
      </c>
      <c r="AX28" s="22">
        <v>40</v>
      </c>
      <c r="AY28" s="22"/>
      <c r="AZ28" s="22"/>
      <c r="BA28" s="22"/>
      <c r="BB28" s="22"/>
      <c r="BC28" s="22">
        <v>393</v>
      </c>
      <c r="BD28" s="22">
        <v>356</v>
      </c>
      <c r="BE28" s="22">
        <v>65.52</v>
      </c>
      <c r="BF28" s="22">
        <v>66.91</v>
      </c>
      <c r="BG28" s="22">
        <v>65.569999999999993</v>
      </c>
      <c r="BH28" s="22">
        <v>0</v>
      </c>
      <c r="BI28" s="22">
        <v>1497</v>
      </c>
      <c r="BJ28" s="22">
        <v>0</v>
      </c>
      <c r="BK28" s="22">
        <v>0</v>
      </c>
      <c r="BL28" s="22"/>
      <c r="BM28" s="22"/>
      <c r="BN28" s="22"/>
      <c r="BO28" s="22"/>
      <c r="BP28" s="22">
        <v>371</v>
      </c>
      <c r="BQ28" s="22">
        <v>349</v>
      </c>
      <c r="BR28" s="22">
        <v>78.34</v>
      </c>
      <c r="BS28" s="22">
        <v>73.98</v>
      </c>
      <c r="BT28" s="22">
        <v>78.22</v>
      </c>
      <c r="BU28" s="22">
        <v>0</v>
      </c>
      <c r="BV28" s="22">
        <v>8095</v>
      </c>
      <c r="BW28" s="22">
        <v>0</v>
      </c>
      <c r="BX28" s="22">
        <v>21</v>
      </c>
      <c r="BY28" s="22"/>
      <c r="BZ28" s="22"/>
      <c r="CA28" s="22"/>
      <c r="CB28" s="22"/>
      <c r="CC28" s="22">
        <v>245</v>
      </c>
      <c r="CD28" s="22">
        <v>966</v>
      </c>
      <c r="CE28" s="22">
        <v>90.93</v>
      </c>
      <c r="CF28" s="22">
        <v>77.34</v>
      </c>
      <c r="CG28" s="22">
        <v>90.31</v>
      </c>
      <c r="CH28" s="22">
        <v>0</v>
      </c>
      <c r="CI28" s="22">
        <v>0</v>
      </c>
      <c r="CJ28" s="22">
        <v>0</v>
      </c>
      <c r="CK28" s="22">
        <v>29</v>
      </c>
      <c r="CL28" s="22"/>
      <c r="CM28" s="22"/>
      <c r="CN28" s="22"/>
      <c r="CO28" s="22"/>
      <c r="CP28" s="22">
        <v>249</v>
      </c>
      <c r="CQ28" s="22">
        <v>0</v>
      </c>
      <c r="CR28" s="22">
        <v>93.31</v>
      </c>
      <c r="CS28" s="22">
        <v>83.13</v>
      </c>
      <c r="CT28" s="22">
        <v>92.8</v>
      </c>
      <c r="CU28" s="22">
        <v>0</v>
      </c>
      <c r="CV28" s="22">
        <v>62285</v>
      </c>
      <c r="CW28" s="22">
        <v>0</v>
      </c>
      <c r="CX28" s="22">
        <v>4</v>
      </c>
      <c r="CY28" s="22"/>
      <c r="CZ28" s="22"/>
      <c r="DA28" s="22"/>
      <c r="DB28" s="22"/>
      <c r="DC28" s="22">
        <v>251</v>
      </c>
      <c r="DD28" s="22">
        <v>129</v>
      </c>
      <c r="DE28" s="22">
        <v>94.39</v>
      </c>
      <c r="DF28" s="22">
        <v>85.91</v>
      </c>
      <c r="DG28" s="22">
        <v>93.94</v>
      </c>
      <c r="DH28" s="22">
        <v>0</v>
      </c>
      <c r="DI28" s="22">
        <v>36562</v>
      </c>
      <c r="DJ28" s="22">
        <v>0</v>
      </c>
      <c r="DK28" s="22">
        <v>28</v>
      </c>
      <c r="DL28" s="22"/>
      <c r="DM28" s="22"/>
      <c r="DN28" s="22"/>
      <c r="DO28" s="22"/>
      <c r="DP28" s="22">
        <v>398</v>
      </c>
      <c r="DQ28" s="22">
        <v>333</v>
      </c>
      <c r="DR28" s="22">
        <v>95.19</v>
      </c>
      <c r="DS28" s="22">
        <v>88.1</v>
      </c>
      <c r="DT28" s="22">
        <v>94.8</v>
      </c>
      <c r="DU28" s="22">
        <v>0</v>
      </c>
      <c r="DV28" s="22">
        <v>53815</v>
      </c>
      <c r="DW28" s="22">
        <v>0</v>
      </c>
      <c r="DX28" s="22">
        <v>0</v>
      </c>
      <c r="DY28" s="22"/>
      <c r="DZ28" s="22"/>
      <c r="EA28" s="22"/>
      <c r="EC28" s="22">
        <v>400</v>
      </c>
      <c r="ED28" s="22">
        <v>125</v>
      </c>
      <c r="EE28" s="22">
        <v>95.59</v>
      </c>
      <c r="EF28" s="22">
        <v>89.68</v>
      </c>
      <c r="EG28" s="22">
        <v>95.26</v>
      </c>
      <c r="EH28" s="22">
        <v>0</v>
      </c>
      <c r="EI28" s="22">
        <v>39182</v>
      </c>
      <c r="EJ28" s="22">
        <v>0</v>
      </c>
      <c r="EK28" s="22">
        <v>26</v>
      </c>
      <c r="EL28" s="22"/>
      <c r="EM28" s="22"/>
      <c r="EN28" s="22"/>
      <c r="EO28" s="22"/>
      <c r="EP28" s="83">
        <v>213</v>
      </c>
      <c r="EQ28" s="83">
        <v>20</v>
      </c>
      <c r="ER28" s="83">
        <v>95.99</v>
      </c>
      <c r="ES28" s="83">
        <v>91.18</v>
      </c>
      <c r="ET28" s="83">
        <v>95.71</v>
      </c>
      <c r="EU28" s="83">
        <v>0</v>
      </c>
      <c r="EV28" s="83">
        <v>4361</v>
      </c>
      <c r="EW28" s="83">
        <v>0</v>
      </c>
      <c r="EX28" s="83">
        <v>45</v>
      </c>
      <c r="EY28" s="83"/>
      <c r="EZ28" s="83"/>
      <c r="FA28" s="83"/>
      <c r="FB28" s="83"/>
      <c r="FC28" s="67">
        <v>3000</v>
      </c>
      <c r="FD28" s="67">
        <v>5000</v>
      </c>
      <c r="FE28" s="67">
        <v>96</v>
      </c>
      <c r="FF28" s="67">
        <v>95</v>
      </c>
      <c r="FG28" s="67">
        <v>96</v>
      </c>
      <c r="FH28" s="67">
        <v>0</v>
      </c>
      <c r="FI28" s="67">
        <v>115000</v>
      </c>
      <c r="FJ28" s="67">
        <v>0</v>
      </c>
      <c r="FK28" s="67">
        <v>350</v>
      </c>
      <c r="FL28" s="67"/>
      <c r="FM28" s="67"/>
      <c r="FN28" s="67"/>
      <c r="FO28" s="67"/>
    </row>
    <row r="29" spans="1:171" x14ac:dyDescent="0.2">
      <c r="A29" s="44">
        <v>28</v>
      </c>
      <c r="B29" s="46" t="s">
        <v>195</v>
      </c>
      <c r="C29" s="22">
        <v>238</v>
      </c>
      <c r="D29" s="22">
        <v>123</v>
      </c>
      <c r="E29" s="22">
        <v>361</v>
      </c>
      <c r="F29" s="22">
        <v>16.399999999999999</v>
      </c>
      <c r="G29" s="22">
        <v>3</v>
      </c>
      <c r="H29" s="22">
        <v>100506</v>
      </c>
      <c r="I29" s="22">
        <v>8448</v>
      </c>
      <c r="J29" s="22"/>
      <c r="K29" s="22"/>
      <c r="L29" s="22"/>
      <c r="M29" s="22"/>
      <c r="N29" s="22"/>
      <c r="O29" s="22"/>
      <c r="P29" s="22">
        <v>240</v>
      </c>
      <c r="Q29" s="22">
        <v>119</v>
      </c>
      <c r="R29" s="22">
        <v>359</v>
      </c>
      <c r="S29" s="22">
        <v>16.3</v>
      </c>
      <c r="T29" s="28">
        <v>5</v>
      </c>
      <c r="U29" s="22">
        <v>53276</v>
      </c>
      <c r="V29" s="22">
        <v>8416</v>
      </c>
      <c r="W29" s="22"/>
      <c r="X29" s="22"/>
      <c r="Y29" s="22"/>
      <c r="Z29" s="22"/>
      <c r="AA29" s="22"/>
      <c r="AB29" s="22"/>
      <c r="AC29" s="22">
        <v>165</v>
      </c>
      <c r="AD29" s="22">
        <v>70</v>
      </c>
      <c r="AE29" s="22">
        <v>235</v>
      </c>
      <c r="AF29" s="22">
        <v>11.8</v>
      </c>
      <c r="AG29" s="22">
        <v>11</v>
      </c>
      <c r="AH29" s="22">
        <v>381772</v>
      </c>
      <c r="AI29" s="22">
        <v>20681</v>
      </c>
      <c r="AJ29" s="22"/>
      <c r="AK29" s="22"/>
      <c r="AL29" s="22"/>
      <c r="AM29" s="22"/>
      <c r="AN29" s="22"/>
      <c r="AO29" s="22"/>
      <c r="AP29" s="22">
        <v>345</v>
      </c>
      <c r="AQ29" s="22">
        <v>169</v>
      </c>
      <c r="AR29" s="22">
        <v>514</v>
      </c>
      <c r="AS29" s="22">
        <v>22.3</v>
      </c>
      <c r="AT29" s="36">
        <v>9</v>
      </c>
      <c r="AU29" s="22">
        <v>86101</v>
      </c>
      <c r="AV29" s="22">
        <v>13058</v>
      </c>
      <c r="AW29" s="22"/>
      <c r="AX29" s="22"/>
      <c r="AY29" s="22"/>
      <c r="AZ29" s="22"/>
      <c r="BA29" s="22"/>
      <c r="BB29" s="22"/>
      <c r="BC29" s="22">
        <v>194</v>
      </c>
      <c r="BD29" s="22">
        <v>103</v>
      </c>
      <c r="BE29" s="22">
        <v>297</v>
      </c>
      <c r="BF29" s="22">
        <v>16.5</v>
      </c>
      <c r="BG29" s="22">
        <v>7</v>
      </c>
      <c r="BH29" s="22">
        <v>41620</v>
      </c>
      <c r="BI29" s="22">
        <v>10434</v>
      </c>
      <c r="BJ29" s="22"/>
      <c r="BK29" s="22"/>
      <c r="BL29" s="22"/>
      <c r="BM29" s="22"/>
      <c r="BN29" s="22"/>
      <c r="BO29" s="22"/>
      <c r="BP29" s="22">
        <v>212</v>
      </c>
      <c r="BQ29" s="22">
        <v>86</v>
      </c>
      <c r="BR29" s="22">
        <v>298</v>
      </c>
      <c r="BS29" s="22">
        <v>15.7</v>
      </c>
      <c r="BT29" s="22">
        <v>7</v>
      </c>
      <c r="BU29" s="22">
        <v>73051</v>
      </c>
      <c r="BV29" s="22">
        <v>7434</v>
      </c>
      <c r="BW29" s="22"/>
      <c r="BX29" s="22"/>
      <c r="BY29" s="22"/>
      <c r="BZ29" s="22"/>
      <c r="CA29" s="22"/>
      <c r="CB29" s="22"/>
      <c r="CC29" s="22">
        <v>272</v>
      </c>
      <c r="CD29" s="22">
        <v>113</v>
      </c>
      <c r="CE29" s="22">
        <v>385</v>
      </c>
      <c r="CF29" s="82">
        <v>18.3</v>
      </c>
      <c r="CG29" s="22">
        <v>5</v>
      </c>
      <c r="CH29" s="22">
        <v>19773</v>
      </c>
      <c r="CI29" s="22">
        <v>2826</v>
      </c>
      <c r="CJ29" s="22"/>
      <c r="CK29" s="22"/>
      <c r="CL29" s="22"/>
      <c r="CM29" s="22"/>
      <c r="CN29" s="22"/>
      <c r="CO29" s="22"/>
      <c r="CP29" s="22">
        <v>186</v>
      </c>
      <c r="CQ29" s="22">
        <v>83</v>
      </c>
      <c r="CR29" s="22">
        <v>269</v>
      </c>
      <c r="CS29" s="22">
        <v>15.4</v>
      </c>
      <c r="CT29" s="22">
        <v>5</v>
      </c>
      <c r="CU29" s="22">
        <v>71656</v>
      </c>
      <c r="CV29" s="22">
        <v>4143</v>
      </c>
      <c r="CW29" s="22">
        <v>0</v>
      </c>
      <c r="CX29" s="22"/>
      <c r="CY29" s="22"/>
      <c r="CZ29" s="22"/>
      <c r="DA29" s="22"/>
      <c r="DB29" s="22"/>
      <c r="DC29" s="22">
        <v>205</v>
      </c>
      <c r="DD29" s="22">
        <v>96</v>
      </c>
      <c r="DE29" s="22">
        <v>301</v>
      </c>
      <c r="DF29" s="22">
        <v>14.3</v>
      </c>
      <c r="DG29" s="22">
        <v>9</v>
      </c>
      <c r="DH29" s="22">
        <v>110780</v>
      </c>
      <c r="DI29" s="22">
        <v>11213</v>
      </c>
      <c r="DJ29" s="22"/>
      <c r="DK29" s="22"/>
      <c r="DL29" s="22"/>
      <c r="DM29" s="22"/>
      <c r="DN29" s="22"/>
      <c r="DO29" s="22"/>
      <c r="DP29" s="22">
        <v>233</v>
      </c>
      <c r="DQ29">
        <v>107</v>
      </c>
      <c r="DR29">
        <v>340</v>
      </c>
      <c r="DS29" s="22">
        <v>16.2</v>
      </c>
      <c r="DT29" s="22">
        <v>9</v>
      </c>
      <c r="DU29" s="22">
        <v>95792</v>
      </c>
      <c r="DV29" s="22">
        <v>12981</v>
      </c>
      <c r="DW29" s="22"/>
      <c r="EC29" s="22">
        <v>219</v>
      </c>
      <c r="ED29" s="22">
        <v>99</v>
      </c>
      <c r="EE29" s="22">
        <v>318</v>
      </c>
      <c r="EF29" s="22">
        <v>15.1</v>
      </c>
      <c r="EG29" s="22">
        <v>7</v>
      </c>
      <c r="EH29" s="22">
        <v>57380</v>
      </c>
      <c r="EI29" s="22">
        <v>7266</v>
      </c>
      <c r="EJ29" s="22"/>
      <c r="EK29" s="22"/>
      <c r="EL29" s="22"/>
      <c r="EM29" s="22"/>
      <c r="EN29" s="22"/>
      <c r="EO29" s="22"/>
      <c r="EP29" s="83">
        <v>207</v>
      </c>
      <c r="EQ29" s="83">
        <v>106</v>
      </c>
      <c r="ER29" s="83">
        <v>313</v>
      </c>
      <c r="ES29" s="83">
        <v>14.9</v>
      </c>
      <c r="ET29" s="83">
        <v>4</v>
      </c>
      <c r="EU29" s="83">
        <v>20614</v>
      </c>
      <c r="EV29" s="83">
        <v>4398</v>
      </c>
      <c r="EW29" s="83"/>
      <c r="EX29" s="83"/>
      <c r="EY29" s="83"/>
      <c r="EZ29" s="83"/>
      <c r="FA29" s="83"/>
      <c r="FB29" s="83"/>
      <c r="FC29" s="67">
        <v>2500</v>
      </c>
      <c r="FD29" s="67">
        <v>1325</v>
      </c>
      <c r="FE29" s="67">
        <v>4000</v>
      </c>
      <c r="FF29" s="67">
        <v>17.5</v>
      </c>
      <c r="FG29" s="67">
        <v>70</v>
      </c>
      <c r="FH29" s="67">
        <v>625000</v>
      </c>
      <c r="FI29" s="67">
        <v>65000</v>
      </c>
      <c r="FJ29" s="67">
        <v>3</v>
      </c>
      <c r="FK29" s="67"/>
      <c r="FL29" s="67"/>
      <c r="FM29" s="67"/>
      <c r="FN29" s="67"/>
      <c r="FO29" s="67"/>
    </row>
    <row r="30" spans="1:171" x14ac:dyDescent="0.2">
      <c r="A30" s="44">
        <v>29</v>
      </c>
      <c r="B30" s="46" t="s">
        <v>16</v>
      </c>
      <c r="C30" s="22">
        <v>726</v>
      </c>
      <c r="D30" s="22">
        <v>149</v>
      </c>
      <c r="E30" s="22">
        <v>6</v>
      </c>
      <c r="F30" s="22">
        <v>545</v>
      </c>
      <c r="G30" s="22"/>
      <c r="H30" s="22"/>
      <c r="I30" s="22"/>
      <c r="J30" s="22"/>
      <c r="K30" s="22"/>
      <c r="L30" s="22"/>
      <c r="M30" s="22"/>
      <c r="N30" s="22"/>
      <c r="O30" s="22"/>
      <c r="P30" s="22">
        <v>763</v>
      </c>
      <c r="Q30" s="22">
        <v>171</v>
      </c>
      <c r="R30" s="22">
        <v>6</v>
      </c>
      <c r="S30" s="22">
        <v>557</v>
      </c>
      <c r="T30" s="28"/>
      <c r="U30" s="22"/>
      <c r="V30" s="22"/>
      <c r="W30" s="22"/>
      <c r="X30" s="22"/>
      <c r="Y30" s="22"/>
      <c r="Z30" s="22"/>
      <c r="AA30" s="22"/>
      <c r="AB30" s="22"/>
      <c r="AC30" s="22">
        <v>680</v>
      </c>
      <c r="AD30" s="22">
        <v>160</v>
      </c>
      <c r="AE30" s="22">
        <v>6</v>
      </c>
      <c r="AF30" s="22">
        <v>473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>
        <v>798</v>
      </c>
      <c r="AQ30" s="22">
        <v>175</v>
      </c>
      <c r="AR30" s="22">
        <v>6</v>
      </c>
      <c r="AS30" s="22">
        <v>565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22">
        <v>676</v>
      </c>
      <c r="BD30" s="22">
        <v>160</v>
      </c>
      <c r="BE30" s="22">
        <v>6</v>
      </c>
      <c r="BF30" s="22">
        <v>480</v>
      </c>
      <c r="BG30" s="22"/>
      <c r="BH30" s="22"/>
      <c r="BI30" s="22"/>
      <c r="BJ30" s="22"/>
      <c r="BK30" s="22"/>
      <c r="BL30" s="22"/>
      <c r="BM30" s="22"/>
      <c r="BN30" s="22"/>
      <c r="BO30" s="22"/>
      <c r="BP30" s="22">
        <v>742</v>
      </c>
      <c r="BQ30" s="22">
        <v>177</v>
      </c>
      <c r="BR30" s="22">
        <v>8</v>
      </c>
      <c r="BS30" s="22">
        <v>537</v>
      </c>
      <c r="BT30" s="22"/>
      <c r="BU30" s="22"/>
      <c r="BV30" s="22"/>
      <c r="BW30" s="22"/>
      <c r="BX30" s="22"/>
      <c r="BY30" s="22"/>
      <c r="BZ30" s="22"/>
      <c r="CA30" s="22"/>
      <c r="CB30" s="22"/>
      <c r="CC30" s="22">
        <v>769</v>
      </c>
      <c r="CD30" s="22">
        <v>195</v>
      </c>
      <c r="CE30" s="22">
        <v>5</v>
      </c>
      <c r="CF30" s="22">
        <v>540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>
        <v>700</v>
      </c>
      <c r="CQ30" s="22">
        <v>164</v>
      </c>
      <c r="CR30" s="22">
        <v>7</v>
      </c>
      <c r="CS30" s="22">
        <v>514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>
        <v>798</v>
      </c>
      <c r="DD30" s="22">
        <v>205</v>
      </c>
      <c r="DE30" s="22">
        <v>6</v>
      </c>
      <c r="DF30" s="22">
        <v>568</v>
      </c>
      <c r="DG30" s="22"/>
      <c r="DH30" s="22"/>
      <c r="DI30" s="22"/>
      <c r="DJ30" s="22"/>
      <c r="DK30" s="22"/>
      <c r="DL30" s="22"/>
      <c r="DM30" s="22"/>
      <c r="DN30" s="22"/>
      <c r="DO30" s="22"/>
      <c r="DP30" s="22">
        <v>793</v>
      </c>
      <c r="DQ30" s="22">
        <v>175</v>
      </c>
      <c r="DR30" s="22">
        <v>5</v>
      </c>
      <c r="DS30" s="22">
        <v>557</v>
      </c>
      <c r="DT30" s="22"/>
      <c r="DU30" s="22"/>
      <c r="DV30" s="22"/>
      <c r="DW30" s="22"/>
      <c r="DX30" s="22"/>
      <c r="DY30" s="22"/>
      <c r="DZ30" s="22"/>
      <c r="EA30" s="22"/>
      <c r="EB30" s="22"/>
      <c r="EC30" s="22">
        <v>838</v>
      </c>
      <c r="ED30" s="22">
        <v>199</v>
      </c>
      <c r="EE30" s="22">
        <v>6</v>
      </c>
      <c r="EF30" s="22">
        <v>605</v>
      </c>
      <c r="EG30" s="22"/>
      <c r="EH30" s="22"/>
      <c r="EI30" s="22"/>
      <c r="EJ30" s="22"/>
      <c r="EK30" s="22"/>
      <c r="EL30" s="22"/>
      <c r="EM30" s="22"/>
      <c r="EN30" s="22"/>
      <c r="EO30" s="22"/>
      <c r="EP30" s="86">
        <v>801</v>
      </c>
      <c r="EQ30" s="86">
        <v>183</v>
      </c>
      <c r="ER30" s="86">
        <v>6</v>
      </c>
      <c r="ES30" s="86">
        <v>571</v>
      </c>
      <c r="ET30" s="86"/>
      <c r="EU30" s="86"/>
      <c r="EV30" s="86"/>
      <c r="EW30" s="86"/>
      <c r="EX30" s="86"/>
      <c r="EY30" s="86"/>
      <c r="EZ30" s="86"/>
      <c r="FA30" s="86"/>
      <c r="FB30" s="86"/>
      <c r="FC30" s="67">
        <v>9050</v>
      </c>
      <c r="FD30" s="67">
        <v>2125</v>
      </c>
      <c r="FE30" s="67">
        <v>7.5</v>
      </c>
      <c r="FF30" s="67">
        <v>6500</v>
      </c>
      <c r="FG30" s="67"/>
      <c r="FH30" s="67"/>
      <c r="FI30" s="67"/>
      <c r="FJ30" s="67"/>
      <c r="FK30" s="67"/>
      <c r="FL30" s="67"/>
      <c r="FM30" s="67"/>
      <c r="FN30" s="67"/>
      <c r="FO30" s="67"/>
    </row>
    <row r="31" spans="1:171" s="18" customFormat="1" x14ac:dyDescent="0.2">
      <c r="A31" s="45">
        <v>30</v>
      </c>
      <c r="B31" s="46" t="s">
        <v>240</v>
      </c>
      <c r="C31" s="66">
        <v>5175</v>
      </c>
      <c r="D31" s="66">
        <v>7724</v>
      </c>
      <c r="E31" s="66">
        <v>290</v>
      </c>
      <c r="F31" s="66">
        <v>13.2</v>
      </c>
      <c r="G31" s="66">
        <v>11</v>
      </c>
      <c r="H31" s="66">
        <v>4</v>
      </c>
      <c r="I31" s="66">
        <v>40.299999999999997</v>
      </c>
      <c r="J31" s="66">
        <v>33.299999999999997</v>
      </c>
      <c r="K31" s="66">
        <v>17.399999999999999</v>
      </c>
      <c r="L31" s="66"/>
      <c r="M31" s="66"/>
      <c r="N31" s="66"/>
      <c r="O31" s="66"/>
      <c r="P31" s="66">
        <v>4807</v>
      </c>
      <c r="Q31" s="66">
        <v>7724</v>
      </c>
      <c r="R31" s="66">
        <v>259</v>
      </c>
      <c r="S31" s="66">
        <v>11.8</v>
      </c>
      <c r="T31" s="81">
        <v>10</v>
      </c>
      <c r="U31" s="66">
        <v>3</v>
      </c>
      <c r="V31" s="66">
        <v>80.8</v>
      </c>
      <c r="W31" s="66">
        <v>53.2</v>
      </c>
      <c r="X31" s="66">
        <v>34</v>
      </c>
      <c r="Y31" s="66"/>
      <c r="Z31" s="66"/>
      <c r="AA31" s="66"/>
      <c r="AB31" s="66"/>
      <c r="AC31" s="66">
        <v>4174</v>
      </c>
      <c r="AD31" s="66">
        <v>7724</v>
      </c>
      <c r="AE31" s="66">
        <v>215</v>
      </c>
      <c r="AF31" s="66">
        <v>10.8</v>
      </c>
      <c r="AG31" s="66">
        <v>10</v>
      </c>
      <c r="AH31" s="66">
        <v>3</v>
      </c>
      <c r="AI31" s="66">
        <v>120.2</v>
      </c>
      <c r="AJ31" s="66">
        <v>92.2</v>
      </c>
      <c r="AK31" s="66">
        <v>23.3</v>
      </c>
      <c r="AL31" s="66"/>
      <c r="AM31" s="66"/>
      <c r="AN31" s="66"/>
      <c r="AO31" s="66"/>
      <c r="AP31" s="66">
        <v>5004</v>
      </c>
      <c r="AQ31" s="66">
        <v>7724</v>
      </c>
      <c r="AR31" s="66">
        <v>213</v>
      </c>
      <c r="AS31" s="66">
        <v>9.3000000000000007</v>
      </c>
      <c r="AT31" s="66">
        <v>10</v>
      </c>
      <c r="AU31" s="66">
        <v>3</v>
      </c>
      <c r="AV31" s="66">
        <v>160.19999999999999</v>
      </c>
      <c r="AW31" s="66">
        <v>125</v>
      </c>
      <c r="AX31" s="66">
        <v>22</v>
      </c>
      <c r="AY31" s="66"/>
      <c r="AZ31" s="66"/>
      <c r="BA31" s="66"/>
      <c r="BB31" s="66"/>
      <c r="BC31" s="66">
        <v>4012</v>
      </c>
      <c r="BD31" s="66">
        <v>7724</v>
      </c>
      <c r="BE31" s="66">
        <v>251</v>
      </c>
      <c r="BF31" s="66">
        <v>13.9</v>
      </c>
      <c r="BG31" s="66">
        <v>10</v>
      </c>
      <c r="BH31" s="66">
        <v>3</v>
      </c>
      <c r="BI31" s="66">
        <v>198</v>
      </c>
      <c r="BJ31" s="66">
        <v>149.19999999999999</v>
      </c>
      <c r="BK31" s="66">
        <v>25</v>
      </c>
      <c r="BL31" s="66"/>
      <c r="BM31" s="66"/>
      <c r="BN31" s="66"/>
      <c r="BO31" s="66"/>
      <c r="BP31" s="66">
        <v>5071</v>
      </c>
      <c r="BQ31" s="66">
        <v>7724</v>
      </c>
      <c r="BR31" s="66">
        <v>148</v>
      </c>
      <c r="BS31" s="66">
        <v>7.8</v>
      </c>
      <c r="BT31" s="66">
        <v>10</v>
      </c>
      <c r="BU31" s="66">
        <v>1</v>
      </c>
      <c r="BV31" s="66">
        <v>236.8</v>
      </c>
      <c r="BW31" s="66">
        <v>182.8</v>
      </c>
      <c r="BX31" s="66">
        <v>23</v>
      </c>
      <c r="BY31" s="66"/>
      <c r="BZ31" s="66"/>
      <c r="CA31" s="66"/>
      <c r="CB31" s="66"/>
      <c r="CC31" s="66">
        <v>4229</v>
      </c>
      <c r="CD31" s="66">
        <v>7724</v>
      </c>
      <c r="CE31" s="66">
        <v>186</v>
      </c>
      <c r="CF31" s="66">
        <v>8.9</v>
      </c>
      <c r="CG31" s="66">
        <v>10</v>
      </c>
      <c r="CH31" s="66">
        <v>0</v>
      </c>
      <c r="CI31" s="66">
        <v>278.2</v>
      </c>
      <c r="CJ31" s="66">
        <v>205.9</v>
      </c>
      <c r="CK31" s="66">
        <v>26</v>
      </c>
      <c r="CL31" s="66"/>
      <c r="CM31" s="66"/>
      <c r="CN31" s="66"/>
      <c r="CO31" s="66"/>
      <c r="CP31" s="66">
        <v>4611</v>
      </c>
      <c r="CQ31" s="66">
        <v>7724</v>
      </c>
      <c r="CR31" s="66">
        <v>188</v>
      </c>
      <c r="CS31" s="66">
        <v>10.7</v>
      </c>
      <c r="CT31" s="66">
        <v>10</v>
      </c>
      <c r="CU31" s="66">
        <v>0</v>
      </c>
      <c r="CV31" s="66">
        <v>318.8</v>
      </c>
      <c r="CW31" s="66">
        <v>232.3</v>
      </c>
      <c r="CX31" s="66">
        <v>27.1</v>
      </c>
      <c r="CY31" s="66"/>
      <c r="CZ31" s="66"/>
      <c r="DA31" s="66"/>
      <c r="DB31" s="66"/>
      <c r="DC31" s="66">
        <v>5030</v>
      </c>
      <c r="DD31" s="66">
        <v>7724</v>
      </c>
      <c r="DE31" s="66">
        <v>180</v>
      </c>
      <c r="DF31" s="66">
        <v>8.6</v>
      </c>
      <c r="DG31" s="66">
        <v>10</v>
      </c>
      <c r="DH31" s="66">
        <v>0</v>
      </c>
      <c r="DI31" s="66">
        <v>360.4</v>
      </c>
      <c r="DJ31" s="66">
        <v>266.89999999999998</v>
      </c>
      <c r="DK31" s="66">
        <v>26</v>
      </c>
      <c r="DL31" s="66"/>
      <c r="DM31" s="66"/>
      <c r="DN31" s="66"/>
      <c r="DO31" s="66"/>
      <c r="DP31" s="66">
        <v>4769</v>
      </c>
      <c r="DQ31" s="18">
        <v>7724</v>
      </c>
      <c r="DR31" s="18">
        <v>253</v>
      </c>
      <c r="DS31" s="66">
        <v>12.1</v>
      </c>
      <c r="DT31" s="66">
        <v>10</v>
      </c>
      <c r="DU31" s="66">
        <v>0</v>
      </c>
      <c r="DV31" s="66">
        <v>400.3</v>
      </c>
      <c r="DW31" s="66">
        <v>303.10000000000002</v>
      </c>
      <c r="DX31" s="66">
        <v>24.3</v>
      </c>
      <c r="EC31" s="66">
        <v>4878</v>
      </c>
      <c r="ED31" s="66">
        <v>7724</v>
      </c>
      <c r="EE31" s="66">
        <v>205</v>
      </c>
      <c r="EF31" s="66">
        <v>9.8000000000000007</v>
      </c>
      <c r="EG31" s="66">
        <v>10</v>
      </c>
      <c r="EH31" s="66">
        <v>0</v>
      </c>
      <c r="EI31" s="66">
        <v>444.9</v>
      </c>
      <c r="EJ31" s="66">
        <v>339.5</v>
      </c>
      <c r="EK31" s="66">
        <v>23.7</v>
      </c>
      <c r="EP31" s="83">
        <v>4197</v>
      </c>
      <c r="EQ31" s="83">
        <v>7818</v>
      </c>
      <c r="ER31" s="83">
        <v>197</v>
      </c>
      <c r="ES31" s="83">
        <v>9.4</v>
      </c>
      <c r="ET31" s="83">
        <v>10</v>
      </c>
      <c r="EU31" s="83">
        <v>0</v>
      </c>
      <c r="EV31" s="83">
        <v>494.7</v>
      </c>
      <c r="EW31" s="83">
        <v>381.1</v>
      </c>
      <c r="EX31" s="83">
        <v>23</v>
      </c>
      <c r="EY31" s="83"/>
      <c r="EZ31" s="83"/>
      <c r="FA31" s="83"/>
      <c r="FB31" s="83"/>
      <c r="FC31" s="67">
        <v>53500</v>
      </c>
      <c r="FD31" s="67">
        <v>7800</v>
      </c>
      <c r="FE31" s="67">
        <v>2700</v>
      </c>
      <c r="FF31" s="67">
        <v>11</v>
      </c>
      <c r="FG31" s="67">
        <v>14</v>
      </c>
      <c r="FH31" s="67">
        <v>8</v>
      </c>
      <c r="FI31" s="67">
        <v>375</v>
      </c>
      <c r="FJ31" s="67">
        <v>325</v>
      </c>
      <c r="FK31" s="67">
        <v>15</v>
      </c>
      <c r="FL31" s="67"/>
      <c r="FM31" s="67"/>
      <c r="FN31" s="67"/>
      <c r="FO31" s="67"/>
    </row>
    <row r="32" spans="1:171" x14ac:dyDescent="0.2">
      <c r="A32" s="44">
        <v>31</v>
      </c>
      <c r="B32" s="47">
        <v>911</v>
      </c>
      <c r="C32" s="22">
        <v>10192</v>
      </c>
      <c r="D32" s="22">
        <v>3.25</v>
      </c>
      <c r="E32" s="22">
        <v>1.03</v>
      </c>
      <c r="F32" s="22">
        <v>2.5099999999999998</v>
      </c>
      <c r="G32" s="22">
        <v>4.59</v>
      </c>
      <c r="H32" s="22"/>
      <c r="I32" s="22"/>
      <c r="J32" s="22"/>
      <c r="K32" s="22"/>
      <c r="L32" s="22"/>
      <c r="M32" s="22"/>
      <c r="N32" s="22"/>
      <c r="O32" s="22"/>
      <c r="P32" s="22">
        <v>10378</v>
      </c>
      <c r="Q32" s="22">
        <v>2.5499999999999998</v>
      </c>
      <c r="R32" s="22">
        <v>0.56000000000000005</v>
      </c>
      <c r="S32" s="22">
        <v>2.58</v>
      </c>
      <c r="T32" s="28">
        <v>4.8099999999999996</v>
      </c>
      <c r="U32" s="22"/>
      <c r="V32" s="22"/>
      <c r="W32" s="22"/>
      <c r="X32" s="22"/>
      <c r="Y32" s="22"/>
      <c r="Z32" s="22"/>
      <c r="AA32" s="22"/>
      <c r="AB32" s="22"/>
      <c r="AC32" s="22">
        <v>9712</v>
      </c>
      <c r="AD32" s="22">
        <v>3.25</v>
      </c>
      <c r="AE32" s="22">
        <v>1.1000000000000001</v>
      </c>
      <c r="AF32" s="22">
        <v>3.1</v>
      </c>
      <c r="AG32" s="22">
        <v>4.59</v>
      </c>
      <c r="AH32" s="22"/>
      <c r="AI32" s="22"/>
      <c r="AJ32" s="22"/>
      <c r="AK32" s="22"/>
      <c r="AL32" s="22"/>
      <c r="AM32" s="22"/>
      <c r="AN32" s="22"/>
      <c r="AO32" s="22"/>
      <c r="AP32" s="22">
        <v>9752</v>
      </c>
      <c r="AQ32" s="22">
        <v>3.25</v>
      </c>
      <c r="AR32" s="22">
        <v>1.04</v>
      </c>
      <c r="AS32" s="22">
        <v>3.22</v>
      </c>
      <c r="AT32" s="37">
        <v>4.47</v>
      </c>
      <c r="AU32" s="22"/>
      <c r="AV32" s="22"/>
      <c r="AW32" s="22"/>
      <c r="AX32" s="22"/>
      <c r="AY32" s="22"/>
      <c r="AZ32" s="22"/>
      <c r="BA32" s="22"/>
      <c r="BB32" s="22"/>
      <c r="BC32" s="22">
        <v>9033</v>
      </c>
      <c r="BD32" s="22">
        <v>3.07</v>
      </c>
      <c r="BE32" s="22">
        <v>1.04</v>
      </c>
      <c r="BF32" s="22">
        <v>3</v>
      </c>
      <c r="BG32" s="22">
        <v>3.89</v>
      </c>
      <c r="BH32" s="22"/>
      <c r="BI32" s="22"/>
      <c r="BJ32" s="22"/>
      <c r="BK32" s="22"/>
      <c r="BL32" s="22"/>
      <c r="BM32" s="22"/>
      <c r="BN32" s="22"/>
      <c r="BO32" s="22"/>
      <c r="BP32" s="22">
        <v>8987</v>
      </c>
      <c r="BQ32" s="22">
        <v>3.31</v>
      </c>
      <c r="BR32" s="22">
        <v>1.02</v>
      </c>
      <c r="BS32" s="22">
        <v>3.07</v>
      </c>
      <c r="BT32" s="22">
        <v>4</v>
      </c>
      <c r="BU32" s="22"/>
      <c r="BV32" s="22"/>
      <c r="BW32" s="22"/>
      <c r="BX32" s="22"/>
      <c r="BY32" s="22"/>
      <c r="BZ32" s="22"/>
      <c r="CA32" s="22"/>
      <c r="CB32" s="22"/>
      <c r="CC32" s="22">
        <v>8854</v>
      </c>
      <c r="CD32" s="22">
        <v>4.29</v>
      </c>
      <c r="CE32" s="22">
        <v>1.04</v>
      </c>
      <c r="CF32" s="22">
        <v>2.34</v>
      </c>
      <c r="CG32" s="22">
        <v>3.95</v>
      </c>
      <c r="CH32" s="22"/>
      <c r="CI32" s="22"/>
      <c r="CJ32" s="22"/>
      <c r="CK32" s="22"/>
      <c r="CL32" s="22"/>
      <c r="CM32" s="22"/>
      <c r="CN32" s="22"/>
      <c r="CO32" s="22"/>
      <c r="CP32" s="22">
        <v>8543</v>
      </c>
      <c r="CQ32" s="22">
        <v>3.17</v>
      </c>
      <c r="CR32" s="22">
        <v>1.06</v>
      </c>
      <c r="CS32" s="22">
        <v>2.5299999999999998</v>
      </c>
      <c r="CT32" s="22">
        <v>4.0999999999999996</v>
      </c>
      <c r="CU32" s="22">
        <v>95.18</v>
      </c>
      <c r="CV32" s="22"/>
      <c r="CW32" s="22"/>
      <c r="CX32" s="22"/>
      <c r="CY32" s="22"/>
      <c r="CZ32" s="22"/>
      <c r="DA32" s="22"/>
      <c r="DB32" s="22"/>
      <c r="DC32" s="22">
        <v>9344</v>
      </c>
      <c r="DD32" s="22">
        <v>4.24</v>
      </c>
      <c r="DE32" s="22">
        <v>1.02</v>
      </c>
      <c r="DF32" s="22">
        <v>2.41</v>
      </c>
      <c r="DG32" s="22">
        <v>4.24</v>
      </c>
      <c r="DH32" s="22">
        <v>95.63</v>
      </c>
      <c r="DI32" s="22"/>
      <c r="DJ32" s="22"/>
      <c r="DK32" s="22"/>
      <c r="DL32" s="22"/>
      <c r="DM32" s="22"/>
      <c r="DN32" s="22"/>
      <c r="DO32" s="22"/>
      <c r="DP32" s="22">
        <v>10061</v>
      </c>
      <c r="DQ32">
        <v>3.19</v>
      </c>
      <c r="DR32">
        <v>1.07</v>
      </c>
      <c r="DS32" s="22">
        <v>2.4300000000000002</v>
      </c>
      <c r="DT32" s="22">
        <v>4.6399999999999997</v>
      </c>
      <c r="DU32" s="22">
        <v>93.63</v>
      </c>
      <c r="EC32" s="22">
        <v>10426</v>
      </c>
      <c r="ED32" s="22">
        <v>3.46</v>
      </c>
      <c r="EE32" s="22">
        <v>1.03</v>
      </c>
      <c r="EF32" s="22">
        <v>2.41</v>
      </c>
      <c r="EG32" s="22">
        <v>4.71</v>
      </c>
      <c r="EH32" s="22">
        <v>93.86</v>
      </c>
      <c r="EP32" s="83">
        <v>10587</v>
      </c>
      <c r="EQ32" s="83">
        <v>3</v>
      </c>
      <c r="ER32" s="83">
        <v>1.02</v>
      </c>
      <c r="ES32" s="83">
        <v>2.4300000000000002</v>
      </c>
      <c r="ET32" s="83">
        <v>4.8899999999999997</v>
      </c>
      <c r="EU32" s="83">
        <v>92.48</v>
      </c>
      <c r="EV32" s="83"/>
      <c r="EW32" s="83"/>
      <c r="EX32" s="83"/>
      <c r="EY32" s="83"/>
      <c r="EZ32" s="83"/>
      <c r="FA32" s="83"/>
      <c r="FB32" s="83"/>
      <c r="FC32" s="67">
        <v>119550</v>
      </c>
      <c r="FD32" s="67">
        <v>2.42</v>
      </c>
      <c r="FE32" s="67">
        <v>1</v>
      </c>
      <c r="FF32" s="67">
        <v>3.15</v>
      </c>
      <c r="FG32" s="67">
        <v>4.43</v>
      </c>
      <c r="FH32" s="67">
        <v>90</v>
      </c>
      <c r="FI32" s="67"/>
      <c r="FJ32" s="67"/>
      <c r="FK32" s="67"/>
      <c r="FL32" s="67"/>
      <c r="FM32" s="67"/>
      <c r="FN32" s="67"/>
      <c r="FO32" s="67"/>
    </row>
    <row r="33" spans="1:171" x14ac:dyDescent="0.2">
      <c r="A33" s="63">
        <v>32</v>
      </c>
      <c r="B33" s="70" t="s">
        <v>543</v>
      </c>
      <c r="C33" s="65">
        <v>1</v>
      </c>
      <c r="D33" s="65">
        <v>4</v>
      </c>
      <c r="E33" s="65">
        <v>2</v>
      </c>
      <c r="F33" s="65">
        <v>3</v>
      </c>
      <c r="G33" s="65">
        <v>3</v>
      </c>
      <c r="H33" s="65">
        <v>1</v>
      </c>
      <c r="I33" s="65">
        <v>8</v>
      </c>
      <c r="J33" s="65"/>
      <c r="K33" s="65"/>
      <c r="L33" s="65"/>
      <c r="M33" s="65"/>
      <c r="N33" s="65"/>
      <c r="O33" s="65"/>
      <c r="P33" s="65">
        <v>2</v>
      </c>
      <c r="Q33" s="65">
        <v>3</v>
      </c>
      <c r="R33" s="65">
        <v>4</v>
      </c>
      <c r="S33" s="65">
        <v>2</v>
      </c>
      <c r="T33" s="65">
        <v>3</v>
      </c>
      <c r="U33" s="65"/>
      <c r="V33" s="65"/>
      <c r="W33" s="65"/>
      <c r="X33" s="65"/>
      <c r="Y33" s="65"/>
      <c r="Z33" s="65"/>
      <c r="AA33" s="65"/>
      <c r="AB33" s="65"/>
      <c r="AC33" s="65">
        <v>3</v>
      </c>
      <c r="AD33" s="65">
        <v>9</v>
      </c>
      <c r="AE33" s="65">
        <v>3</v>
      </c>
      <c r="AF33" s="65">
        <v>1</v>
      </c>
      <c r="AG33" s="65">
        <v>2</v>
      </c>
      <c r="AH33" s="65"/>
      <c r="AI33" s="65"/>
      <c r="AJ33" s="65"/>
      <c r="AK33" s="65"/>
      <c r="AL33" s="65"/>
      <c r="AM33" s="65"/>
      <c r="AN33" s="65"/>
      <c r="AO33" s="65"/>
      <c r="AP33" s="65">
        <v>2</v>
      </c>
      <c r="AQ33" s="65">
        <v>1</v>
      </c>
      <c r="AR33" s="65">
        <v>2</v>
      </c>
      <c r="AS33" s="65">
        <v>1</v>
      </c>
      <c r="AT33" s="65">
        <v>2</v>
      </c>
      <c r="AU33" s="65"/>
      <c r="AV33" s="22"/>
      <c r="AW33" s="22"/>
      <c r="AX33" s="22"/>
      <c r="AY33" s="22"/>
      <c r="AZ33" s="22"/>
      <c r="BA33" s="22"/>
      <c r="BB33" s="22"/>
      <c r="BC33" s="22">
        <v>0</v>
      </c>
      <c r="BD33" s="22">
        <v>6</v>
      </c>
      <c r="BE33" s="22">
        <v>1</v>
      </c>
      <c r="BF33" s="22">
        <v>1</v>
      </c>
      <c r="BG33" s="22">
        <v>2</v>
      </c>
      <c r="BH33" s="22">
        <v>2</v>
      </c>
      <c r="BI33" s="22">
        <v>62</v>
      </c>
      <c r="BJ33" s="22"/>
      <c r="BK33" s="22"/>
      <c r="BL33" s="22"/>
      <c r="BM33" s="22"/>
      <c r="BN33" s="22"/>
      <c r="BO33" s="22"/>
      <c r="BP33" s="22">
        <v>4</v>
      </c>
      <c r="BQ33" s="22">
        <v>4</v>
      </c>
      <c r="BR33" s="22">
        <v>1</v>
      </c>
      <c r="BS33" s="22">
        <v>4</v>
      </c>
      <c r="BT33" s="22">
        <v>4</v>
      </c>
      <c r="BU33" s="22">
        <v>1</v>
      </c>
      <c r="BV33" s="22">
        <v>24</v>
      </c>
      <c r="BW33" s="22"/>
      <c r="BX33" s="22"/>
      <c r="BY33" s="22"/>
      <c r="BZ33" s="22"/>
      <c r="CA33" s="22"/>
      <c r="CB33" s="22"/>
      <c r="CC33" s="22">
        <v>2</v>
      </c>
      <c r="CD33" s="22">
        <v>1</v>
      </c>
      <c r="CE33" s="22">
        <v>3</v>
      </c>
      <c r="CF33" s="22">
        <v>5</v>
      </c>
      <c r="CG33" s="22">
        <v>4</v>
      </c>
      <c r="CH33" s="22"/>
      <c r="CI33" s="22"/>
      <c r="CJ33" s="22"/>
      <c r="CK33" s="22"/>
      <c r="CL33" s="22"/>
      <c r="CM33" s="22"/>
      <c r="CN33" s="22"/>
      <c r="CO33" s="22"/>
      <c r="CP33" s="22">
        <v>0</v>
      </c>
      <c r="CQ33" s="22">
        <v>2</v>
      </c>
      <c r="CR33" s="22">
        <v>0</v>
      </c>
      <c r="CS33" s="22">
        <v>1</v>
      </c>
      <c r="CT33" s="22">
        <v>3</v>
      </c>
      <c r="CU33" s="22">
        <v>0</v>
      </c>
      <c r="CV33" s="22">
        <v>0</v>
      </c>
      <c r="CW33" s="22"/>
      <c r="CX33" s="22"/>
      <c r="CY33" s="22"/>
      <c r="CZ33" s="22"/>
      <c r="DA33" s="22"/>
      <c r="DB33" s="22"/>
      <c r="DC33" s="22">
        <v>2</v>
      </c>
      <c r="DD33" s="22">
        <v>4</v>
      </c>
      <c r="DE33" s="22">
        <v>2</v>
      </c>
      <c r="DF33" s="22">
        <v>2</v>
      </c>
      <c r="DG33" s="22">
        <v>7</v>
      </c>
      <c r="DH33" s="22"/>
      <c r="DI33" s="22"/>
      <c r="DJ33" s="22"/>
      <c r="DK33" s="22"/>
      <c r="DL33" s="22"/>
      <c r="DM33" s="22"/>
      <c r="DN33" s="22"/>
      <c r="DO33" s="22"/>
      <c r="DP33" s="22">
        <v>2</v>
      </c>
      <c r="DQ33">
        <v>2</v>
      </c>
      <c r="DR33">
        <v>3</v>
      </c>
      <c r="DS33" s="22">
        <v>2</v>
      </c>
      <c r="DT33" s="22">
        <v>3</v>
      </c>
      <c r="DU33" s="22"/>
      <c r="EC33">
        <v>3</v>
      </c>
      <c r="ED33">
        <v>6</v>
      </c>
      <c r="EE33">
        <v>3</v>
      </c>
      <c r="EF33">
        <v>5</v>
      </c>
      <c r="EG33">
        <v>3</v>
      </c>
      <c r="EH33">
        <v>1</v>
      </c>
      <c r="EI33">
        <v>5</v>
      </c>
      <c r="EP33" s="83">
        <v>0</v>
      </c>
      <c r="EQ33" s="83">
        <v>2</v>
      </c>
      <c r="ER33" s="83">
        <v>2</v>
      </c>
      <c r="ES33" s="83">
        <v>2</v>
      </c>
      <c r="ET33" s="83">
        <v>2</v>
      </c>
      <c r="EU33" s="83">
        <v>1</v>
      </c>
      <c r="EV33" s="83">
        <v>23</v>
      </c>
      <c r="EW33" s="83"/>
      <c r="EX33" s="83"/>
      <c r="EY33" s="83"/>
      <c r="EZ33" s="83"/>
      <c r="FA33" s="83"/>
      <c r="FB33" s="83"/>
      <c r="FC33" s="67">
        <v>25</v>
      </c>
      <c r="FD33" s="67">
        <v>40</v>
      </c>
      <c r="FE33" s="67">
        <v>25</v>
      </c>
      <c r="FF33" s="67">
        <v>35</v>
      </c>
      <c r="FG33" s="67">
        <v>50</v>
      </c>
      <c r="FH33" s="67">
        <v>10</v>
      </c>
      <c r="FI33" s="67">
        <v>250</v>
      </c>
      <c r="FJ33" s="67"/>
      <c r="FK33" s="67"/>
      <c r="FL33" s="67"/>
      <c r="FM33" s="67"/>
      <c r="FN33" s="67"/>
      <c r="FO33" s="67"/>
    </row>
    <row r="34" spans="1:171" x14ac:dyDescent="0.2">
      <c r="A34" s="63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S34" s="22"/>
      <c r="DT34" s="22"/>
      <c r="DU34" s="22"/>
      <c r="DV34" s="22"/>
    </row>
    <row r="35" spans="1:171" x14ac:dyDescent="0.2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S35" s="22"/>
      <c r="DT35" s="22"/>
    </row>
    <row r="36" spans="1:171" x14ac:dyDescent="0.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8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</row>
    <row r="37" spans="1:171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8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71" x14ac:dyDescent="0.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8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</row>
    <row r="39" spans="1:171" x14ac:dyDescent="0.2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8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</row>
    <row r="40" spans="1:171" x14ac:dyDescent="0.2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8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</row>
    <row r="41" spans="1:171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</row>
    <row r="42" spans="1:171" x14ac:dyDescent="0.2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8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</row>
    <row r="43" spans="1:171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8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</row>
    <row r="44" spans="1:171" x14ac:dyDescent="0.2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8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1:171" x14ac:dyDescent="0.2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8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</row>
    <row r="46" spans="1:171" x14ac:dyDescent="0.2">
      <c r="C46" s="22"/>
      <c r="D46" s="22"/>
      <c r="E46" s="22"/>
      <c r="F46" s="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</row>
    <row r="47" spans="1:17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8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</row>
    <row r="48" spans="1:171" x14ac:dyDescent="0.2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8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</row>
    <row r="49" spans="2:120" x14ac:dyDescent="0.2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8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</row>
    <row r="50" spans="2:120" x14ac:dyDescent="0.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8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</row>
    <row r="51" spans="2:120" x14ac:dyDescent="0.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8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</row>
    <row r="52" spans="2:120" x14ac:dyDescent="0.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</row>
    <row r="53" spans="2:120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8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</row>
    <row r="54" spans="2:120" x14ac:dyDescent="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</row>
    <row r="55" spans="2:120" x14ac:dyDescent="0.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</row>
    <row r="56" spans="2:120" x14ac:dyDescent="0.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</row>
    <row r="57" spans="2:120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</row>
    <row r="58" spans="2:120" x14ac:dyDescent="0.2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</row>
    <row r="59" spans="2:120" x14ac:dyDescent="0.2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</row>
    <row r="60" spans="2:120" x14ac:dyDescent="0.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</row>
    <row r="61" spans="2:120" x14ac:dyDescent="0.2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</row>
    <row r="62" spans="2:120" x14ac:dyDescent="0.2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</row>
    <row r="63" spans="2:120" x14ac:dyDescent="0.2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</row>
    <row r="64" spans="2:120" x14ac:dyDescent="0.2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</row>
    <row r="65" spans="2:120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</row>
    <row r="66" spans="2:120" x14ac:dyDescent="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</row>
    <row r="67" spans="2:120" x14ac:dyDescent="0.2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</row>
    <row r="68" spans="2:120" x14ac:dyDescent="0.2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</row>
    <row r="69" spans="2:120" x14ac:dyDescent="0.2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</row>
    <row r="70" spans="2:120" x14ac:dyDescent="0.2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</row>
    <row r="71" spans="2:120" x14ac:dyDescent="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</row>
    <row r="72" spans="2:120" x14ac:dyDescent="0.2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</row>
    <row r="73" spans="2:120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</row>
    <row r="74" spans="2:120" x14ac:dyDescent="0.2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</row>
    <row r="75" spans="2:120" x14ac:dyDescent="0.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</row>
    <row r="76" spans="2:120" x14ac:dyDescent="0.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</row>
    <row r="77" spans="2:120" x14ac:dyDescent="0.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</row>
    <row r="78" spans="2:120" x14ac:dyDescent="0.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</row>
    <row r="79" spans="2:120" x14ac:dyDescent="0.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</row>
    <row r="80" spans="2:120" x14ac:dyDescent="0.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</row>
    <row r="81" spans="2:120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</row>
    <row r="82" spans="2:120" x14ac:dyDescent="0.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</row>
    <row r="83" spans="2:120" x14ac:dyDescent="0.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</row>
    <row r="84" spans="2:120" x14ac:dyDescent="0.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</row>
    <row r="85" spans="2:120" x14ac:dyDescent="0.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</row>
    <row r="86" spans="2:120" x14ac:dyDescent="0.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</row>
    <row r="87" spans="2:120" x14ac:dyDescent="0.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</row>
    <row r="88" spans="2:120" x14ac:dyDescent="0.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</row>
    <row r="89" spans="2:120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</row>
    <row r="90" spans="2:120" x14ac:dyDescent="0.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</row>
    <row r="91" spans="2:120" x14ac:dyDescent="0.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</row>
    <row r="92" spans="2:120" x14ac:dyDescent="0.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</row>
    <row r="93" spans="2:120" x14ac:dyDescent="0.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</row>
    <row r="94" spans="2:120" x14ac:dyDescent="0.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</row>
    <row r="95" spans="2:120" x14ac:dyDescent="0.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</row>
    <row r="96" spans="2:120" x14ac:dyDescent="0.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</row>
    <row r="97" spans="2:120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</row>
    <row r="98" spans="2:120" x14ac:dyDescent="0.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</row>
    <row r="99" spans="2:120" x14ac:dyDescent="0.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</row>
    <row r="100" spans="2:120" x14ac:dyDescent="0.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</row>
    <row r="101" spans="2:120" x14ac:dyDescent="0.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</row>
    <row r="102" spans="2:120" x14ac:dyDescent="0.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</row>
    <row r="103" spans="2:120" x14ac:dyDescent="0.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</row>
    <row r="104" spans="2:120" x14ac:dyDescent="0.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</row>
    <row r="105" spans="2:120" x14ac:dyDescent="0.2">
      <c r="B105" s="25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</row>
    <row r="106" spans="2:120" x14ac:dyDescent="0.2">
      <c r="B106" s="25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</row>
    <row r="107" spans="2:120" x14ac:dyDescent="0.2">
      <c r="B107" s="25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</row>
    <row r="108" spans="2:120" x14ac:dyDescent="0.2">
      <c r="B108" s="25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</row>
    <row r="109" spans="2:120" x14ac:dyDescent="0.2">
      <c r="B109" s="25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</row>
    <row r="110" spans="2:120" x14ac:dyDescent="0.2">
      <c r="B110" s="25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</row>
    <row r="111" spans="2:120" x14ac:dyDescent="0.2">
      <c r="B111" s="26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</row>
    <row r="112" spans="2:120" x14ac:dyDescent="0.2">
      <c r="B112" s="25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</row>
    <row r="113" spans="2:120" x14ac:dyDescent="0.2">
      <c r="B113" s="25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</row>
    <row r="114" spans="2:120" x14ac:dyDescent="0.2">
      <c r="B114" s="25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</row>
    <row r="115" spans="2:120" x14ac:dyDescent="0.2">
      <c r="B115" s="25"/>
      <c r="C115" s="22"/>
      <c r="D115" s="22"/>
      <c r="E115" s="22"/>
      <c r="F115" s="27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</row>
    <row r="116" spans="2:120" x14ac:dyDescent="0.2">
      <c r="B116" s="25"/>
      <c r="C116" s="22"/>
      <c r="D116" s="22"/>
      <c r="E116" s="22"/>
      <c r="F116" s="27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</row>
    <row r="117" spans="2:120" x14ac:dyDescent="0.2">
      <c r="B117" s="25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</row>
    <row r="118" spans="2:120" x14ac:dyDescent="0.2">
      <c r="B118" s="25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</row>
    <row r="119" spans="2:120" x14ac:dyDescent="0.2">
      <c r="B119" s="25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</row>
    <row r="120" spans="2:120" x14ac:dyDescent="0.2">
      <c r="B120" s="25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</row>
    <row r="121" spans="2:120" x14ac:dyDescent="0.2">
      <c r="B121" s="25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</row>
    <row r="122" spans="2:120" x14ac:dyDescent="0.2">
      <c r="B122" s="25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</row>
    <row r="123" spans="2:120" x14ac:dyDescent="0.2">
      <c r="B123" s="26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</row>
    <row r="124" spans="2:120" x14ac:dyDescent="0.2">
      <c r="B124" s="25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</row>
    <row r="125" spans="2:120" x14ac:dyDescent="0.2">
      <c r="B125" s="25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</row>
    <row r="126" spans="2:120" x14ac:dyDescent="0.2">
      <c r="B126" s="25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</row>
    <row r="127" spans="2:120" x14ac:dyDescent="0.2">
      <c r="B127" s="25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</row>
    <row r="128" spans="2:120" x14ac:dyDescent="0.2">
      <c r="B128" s="25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</row>
    <row r="129" spans="2:120" x14ac:dyDescent="0.2">
      <c r="B129" s="26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</row>
    <row r="130" spans="2:120" x14ac:dyDescent="0.2">
      <c r="B130" s="25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</row>
    <row r="131" spans="2:120" x14ac:dyDescent="0.2">
      <c r="B131" s="25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</row>
    <row r="132" spans="2:120" x14ac:dyDescent="0.2">
      <c r="B132" s="25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</row>
    <row r="133" spans="2:120" x14ac:dyDescent="0.2">
      <c r="B133" s="25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</row>
    <row r="134" spans="2:120" x14ac:dyDescent="0.2">
      <c r="B134" s="25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</row>
    <row r="135" spans="2:120" x14ac:dyDescent="0.2">
      <c r="B135" s="25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</row>
    <row r="136" spans="2:120" x14ac:dyDescent="0.2">
      <c r="B136" s="25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</row>
    <row r="137" spans="2:120" x14ac:dyDescent="0.2">
      <c r="B137" s="25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</row>
    <row r="138" spans="2:120" x14ac:dyDescent="0.2">
      <c r="B138" s="25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</row>
    <row r="139" spans="2:120" x14ac:dyDescent="0.2">
      <c r="B139" s="25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</row>
    <row r="140" spans="2:120" x14ac:dyDescent="0.2">
      <c r="B140" s="25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</row>
    <row r="141" spans="2:120" x14ac:dyDescent="0.2">
      <c r="B141" s="25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</row>
    <row r="142" spans="2:120" x14ac:dyDescent="0.2">
      <c r="B142" s="25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</row>
    <row r="143" spans="2:120" x14ac:dyDescent="0.2">
      <c r="B143" s="25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</row>
    <row r="144" spans="2:120" x14ac:dyDescent="0.2">
      <c r="B144" s="25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</row>
    <row r="145" spans="2:120" x14ac:dyDescent="0.2">
      <c r="B145" s="25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</row>
    <row r="146" spans="2:120" x14ac:dyDescent="0.2">
      <c r="B146" s="25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</row>
    <row r="147" spans="2:120" x14ac:dyDescent="0.2">
      <c r="B147" s="25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</row>
    <row r="148" spans="2:120" x14ac:dyDescent="0.2">
      <c r="B148" s="25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</row>
    <row r="149" spans="2:120" x14ac:dyDescent="0.2">
      <c r="B149" s="25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</row>
    <row r="150" spans="2:120" x14ac:dyDescent="0.2">
      <c r="B150" s="25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</row>
    <row r="151" spans="2:120" x14ac:dyDescent="0.2">
      <c r="B151" s="25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</row>
    <row r="152" spans="2:120" x14ac:dyDescent="0.2">
      <c r="B152" s="25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</row>
    <row r="153" spans="2:120" x14ac:dyDescent="0.2">
      <c r="B153" s="25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</row>
    <row r="154" spans="2:120" x14ac:dyDescent="0.2">
      <c r="B154" s="25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</row>
    <row r="155" spans="2:120" x14ac:dyDescent="0.2">
      <c r="B155" s="25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</row>
    <row r="156" spans="2:120" x14ac:dyDescent="0.2">
      <c r="B156" s="25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</row>
    <row r="157" spans="2:120" x14ac:dyDescent="0.2">
      <c r="B157" s="25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</row>
    <row r="158" spans="2:120" x14ac:dyDescent="0.2">
      <c r="B158" s="25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</row>
    <row r="159" spans="2:120" x14ac:dyDescent="0.2">
      <c r="B159" s="25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</row>
    <row r="160" spans="2:120" x14ac:dyDescent="0.2">
      <c r="B160" s="25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</row>
    <row r="161" spans="2:120" x14ac:dyDescent="0.2">
      <c r="B161" s="25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</row>
    <row r="162" spans="2:120" x14ac:dyDescent="0.2">
      <c r="B162" s="25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</row>
    <row r="163" spans="2:120" x14ac:dyDescent="0.2">
      <c r="B163" s="25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</row>
    <row r="164" spans="2:120" x14ac:dyDescent="0.2">
      <c r="B164" s="25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</row>
    <row r="165" spans="2:120" x14ac:dyDescent="0.2">
      <c r="B165" s="25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</row>
    <row r="166" spans="2:120" x14ac:dyDescent="0.2">
      <c r="B166" s="25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</row>
    <row r="167" spans="2:120" x14ac:dyDescent="0.2">
      <c r="B167" s="25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</row>
    <row r="168" spans="2:120" x14ac:dyDescent="0.2">
      <c r="B168" s="25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</row>
    <row r="169" spans="2:120" x14ac:dyDescent="0.2">
      <c r="B169" s="25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</row>
    <row r="170" spans="2:120" x14ac:dyDescent="0.2">
      <c r="B170" s="25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</row>
    <row r="171" spans="2:120" x14ac:dyDescent="0.2">
      <c r="B171" s="25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</row>
    <row r="172" spans="2:120" x14ac:dyDescent="0.2">
      <c r="B172" s="25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</row>
    <row r="173" spans="2:120" x14ac:dyDescent="0.2">
      <c r="B173" s="25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</row>
    <row r="174" spans="2:120" x14ac:dyDescent="0.2">
      <c r="B174" s="25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</row>
    <row r="175" spans="2:120" x14ac:dyDescent="0.2">
      <c r="B175" s="25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</row>
    <row r="176" spans="2:120" x14ac:dyDescent="0.2">
      <c r="B176" s="25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</row>
    <row r="177" spans="2:120" x14ac:dyDescent="0.2">
      <c r="B177" s="25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</row>
    <row r="178" spans="2:120" x14ac:dyDescent="0.2">
      <c r="B178" s="25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</row>
    <row r="179" spans="2:120" x14ac:dyDescent="0.2">
      <c r="B179" s="25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</row>
    <row r="180" spans="2:120" x14ac:dyDescent="0.2">
      <c r="B180" s="25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</row>
    <row r="181" spans="2:120" x14ac:dyDescent="0.2">
      <c r="B181" s="25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</row>
    <row r="182" spans="2:120" x14ac:dyDescent="0.2">
      <c r="B182" s="25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</row>
    <row r="183" spans="2:120" x14ac:dyDescent="0.2">
      <c r="B183" s="25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</row>
    <row r="184" spans="2:120" x14ac:dyDescent="0.2">
      <c r="B184" s="25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</row>
    <row r="185" spans="2:120" x14ac:dyDescent="0.2">
      <c r="B185" s="25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</row>
    <row r="186" spans="2:120" x14ac:dyDescent="0.2">
      <c r="B186" s="25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</row>
    <row r="187" spans="2:120" x14ac:dyDescent="0.2">
      <c r="B187" s="25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</row>
    <row r="188" spans="2:120" x14ac:dyDescent="0.2">
      <c r="B188" s="25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</row>
    <row r="189" spans="2:120" x14ac:dyDescent="0.2">
      <c r="B189" s="25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</row>
    <row r="190" spans="2:120" x14ac:dyDescent="0.2">
      <c r="B190" s="25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</row>
    <row r="191" spans="2:120" x14ac:dyDescent="0.2">
      <c r="B191" s="25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</row>
    <row r="192" spans="2:120" x14ac:dyDescent="0.2">
      <c r="B192" s="25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</row>
    <row r="193" spans="2:120" x14ac:dyDescent="0.2">
      <c r="B193" s="25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</row>
    <row r="194" spans="2:120" x14ac:dyDescent="0.2">
      <c r="B194" s="25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</row>
    <row r="195" spans="2:120" x14ac:dyDescent="0.2">
      <c r="B195" s="25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</row>
    <row r="196" spans="2:120" x14ac:dyDescent="0.2">
      <c r="B196" s="25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</row>
    <row r="197" spans="2:120" x14ac:dyDescent="0.2">
      <c r="B197" s="25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</row>
    <row r="198" spans="2:120" x14ac:dyDescent="0.2">
      <c r="B198" s="25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</row>
    <row r="199" spans="2:120" x14ac:dyDescent="0.2">
      <c r="B199" s="25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</row>
    <row r="200" spans="2:120" x14ac:dyDescent="0.2">
      <c r="B200" s="25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</row>
    <row r="201" spans="2:120" x14ac:dyDescent="0.2">
      <c r="B201" s="25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</row>
    <row r="202" spans="2:120" x14ac:dyDescent="0.2">
      <c r="B202" s="25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</row>
    <row r="203" spans="2:120" x14ac:dyDescent="0.2">
      <c r="B203" s="25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</row>
    <row r="204" spans="2:120" x14ac:dyDescent="0.2">
      <c r="B204" s="25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</row>
    <row r="205" spans="2:120" x14ac:dyDescent="0.2">
      <c r="B205" s="25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</row>
    <row r="206" spans="2:120" x14ac:dyDescent="0.2">
      <c r="B206" s="25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</row>
    <row r="207" spans="2:120" x14ac:dyDescent="0.2">
      <c r="B207" s="25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</row>
    <row r="208" spans="2:120" x14ac:dyDescent="0.2">
      <c r="B208" s="25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</row>
    <row r="209" spans="2:120" x14ac:dyDescent="0.2">
      <c r="B209" s="25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</row>
    <row r="210" spans="2:120" x14ac:dyDescent="0.2">
      <c r="B210" s="25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</row>
    <row r="211" spans="2:120" x14ac:dyDescent="0.2">
      <c r="B211" s="25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</row>
    <row r="212" spans="2:120" x14ac:dyDescent="0.2">
      <c r="B212" s="25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</row>
    <row r="213" spans="2:120" x14ac:dyDescent="0.2">
      <c r="B213" s="25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</row>
    <row r="214" spans="2:120" x14ac:dyDescent="0.2">
      <c r="B214" s="25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</row>
    <row r="215" spans="2:120" x14ac:dyDescent="0.2">
      <c r="B215" s="25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</row>
    <row r="216" spans="2:120" x14ac:dyDescent="0.2">
      <c r="B216" s="25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</row>
    <row r="217" spans="2:120" x14ac:dyDescent="0.2">
      <c r="B217" s="25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</row>
    <row r="218" spans="2:120" x14ac:dyDescent="0.2">
      <c r="B218" s="25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</row>
    <row r="219" spans="2:120" x14ac:dyDescent="0.2">
      <c r="B219" s="25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</row>
    <row r="220" spans="2:120" x14ac:dyDescent="0.2">
      <c r="B220" s="25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</row>
    <row r="221" spans="2:120" x14ac:dyDescent="0.2">
      <c r="B221" s="25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</row>
    <row r="222" spans="2:120" x14ac:dyDescent="0.2">
      <c r="B222" s="25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</row>
    <row r="223" spans="2:120" x14ac:dyDescent="0.2">
      <c r="B223" s="25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</row>
    <row r="224" spans="2:120" x14ac:dyDescent="0.2">
      <c r="B224" s="25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</row>
    <row r="225" spans="2:120" x14ac:dyDescent="0.2">
      <c r="B225" s="25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</row>
    <row r="226" spans="2:120" x14ac:dyDescent="0.2">
      <c r="B226" s="25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</row>
    <row r="227" spans="2:120" x14ac:dyDescent="0.2">
      <c r="B227" s="25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</row>
    <row r="228" spans="2:120" x14ac:dyDescent="0.2">
      <c r="B228" s="25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</row>
    <row r="229" spans="2:120" x14ac:dyDescent="0.2">
      <c r="B229" s="25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</row>
    <row r="230" spans="2:120" x14ac:dyDescent="0.2">
      <c r="B230" s="25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</row>
    <row r="231" spans="2:120" x14ac:dyDescent="0.2">
      <c r="B231" s="25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</row>
    <row r="232" spans="2:120" x14ac:dyDescent="0.2">
      <c r="B232" s="25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</row>
    <row r="233" spans="2:120" x14ac:dyDescent="0.2">
      <c r="B233" s="25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</row>
    <row r="234" spans="2:120" x14ac:dyDescent="0.2">
      <c r="B234" s="25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</row>
    <row r="235" spans="2:120" x14ac:dyDescent="0.2">
      <c r="B235" s="25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</row>
    <row r="236" spans="2:120" x14ac:dyDescent="0.2">
      <c r="B236" s="25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</row>
    <row r="237" spans="2:120" x14ac:dyDescent="0.2">
      <c r="B237" s="25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</row>
    <row r="238" spans="2:120" x14ac:dyDescent="0.2">
      <c r="B238" s="25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</row>
    <row r="239" spans="2:120" x14ac:dyDescent="0.2">
      <c r="B239" s="25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</row>
    <row r="240" spans="2:120" x14ac:dyDescent="0.2">
      <c r="B240" s="25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</row>
    <row r="241" spans="2:120" x14ac:dyDescent="0.2">
      <c r="B241" s="25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</row>
    <row r="242" spans="2:120" x14ac:dyDescent="0.2">
      <c r="B242" s="25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</row>
    <row r="243" spans="2:120" x14ac:dyDescent="0.2">
      <c r="B243" s="25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</row>
    <row r="244" spans="2:120" x14ac:dyDescent="0.2">
      <c r="B244" s="25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</row>
    <row r="245" spans="2:120" x14ac:dyDescent="0.2">
      <c r="B245" s="25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</row>
    <row r="246" spans="2:120" x14ac:dyDescent="0.2">
      <c r="B246" s="25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</row>
    <row r="247" spans="2:120" x14ac:dyDescent="0.2">
      <c r="B247" s="25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</row>
    <row r="248" spans="2:120" x14ac:dyDescent="0.2">
      <c r="B248" s="25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</row>
    <row r="249" spans="2:120" x14ac:dyDescent="0.2">
      <c r="B249" s="25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</row>
    <row r="250" spans="2:120" x14ac:dyDescent="0.2">
      <c r="B250" s="25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</row>
    <row r="251" spans="2:120" x14ac:dyDescent="0.2">
      <c r="B251" s="25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</row>
    <row r="252" spans="2:120" x14ac:dyDescent="0.2">
      <c r="B252" s="25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</row>
    <row r="253" spans="2:120" x14ac:dyDescent="0.2">
      <c r="B253" s="25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</row>
    <row r="254" spans="2:120" x14ac:dyDescent="0.2">
      <c r="B254" s="25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</row>
    <row r="255" spans="2:120" x14ac:dyDescent="0.2">
      <c r="B255" s="25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</row>
    <row r="256" spans="2:120" x14ac:dyDescent="0.2">
      <c r="B256" s="25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</row>
    <row r="257" spans="2:120" x14ac:dyDescent="0.2">
      <c r="B257" s="25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</row>
    <row r="258" spans="2:120" x14ac:dyDescent="0.2">
      <c r="B258" s="25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</row>
    <row r="259" spans="2:120" x14ac:dyDescent="0.2">
      <c r="B259" s="25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</row>
    <row r="260" spans="2:120" x14ac:dyDescent="0.2">
      <c r="B260" s="25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</row>
    <row r="261" spans="2:120" x14ac:dyDescent="0.2">
      <c r="B261" s="25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</row>
    <row r="262" spans="2:120" x14ac:dyDescent="0.2">
      <c r="B262" s="25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</row>
    <row r="263" spans="2:120" x14ac:dyDescent="0.2">
      <c r="B263" s="25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</row>
    <row r="264" spans="2:120" x14ac:dyDescent="0.2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</row>
    <row r="265" spans="2:120" x14ac:dyDescent="0.2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</row>
    <row r="266" spans="2:120" x14ac:dyDescent="0.2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</row>
    <row r="267" spans="2:120" x14ac:dyDescent="0.2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</row>
    <row r="268" spans="2:120" x14ac:dyDescent="0.2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</row>
    <row r="269" spans="2:120" x14ac:dyDescent="0.2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</row>
    <row r="270" spans="2:120" x14ac:dyDescent="0.2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</row>
    <row r="271" spans="2:120" x14ac:dyDescent="0.2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</row>
    <row r="272" spans="2:120" x14ac:dyDescent="0.2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</row>
    <row r="273" spans="2:120" x14ac:dyDescent="0.2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</row>
    <row r="274" spans="2:120" x14ac:dyDescent="0.2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</row>
    <row r="275" spans="2:120" x14ac:dyDescent="0.2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</row>
    <row r="276" spans="2:120" x14ac:dyDescent="0.2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</row>
    <row r="277" spans="2:120" x14ac:dyDescent="0.2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</row>
    <row r="278" spans="2:120" x14ac:dyDescent="0.2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</row>
    <row r="279" spans="2:120" x14ac:dyDescent="0.2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</row>
    <row r="280" spans="2:120" x14ac:dyDescent="0.2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</row>
    <row r="281" spans="2:120" x14ac:dyDescent="0.2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</row>
    <row r="282" spans="2:120" x14ac:dyDescent="0.2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</row>
    <row r="283" spans="2:120" x14ac:dyDescent="0.2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</row>
    <row r="284" spans="2:120" x14ac:dyDescent="0.2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</row>
    <row r="285" spans="2:120" x14ac:dyDescent="0.2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</row>
    <row r="286" spans="2:120" x14ac:dyDescent="0.2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</row>
    <row r="287" spans="2:120" x14ac:dyDescent="0.2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</row>
    <row r="288" spans="2:120" x14ac:dyDescent="0.2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</row>
    <row r="289" spans="2:120" x14ac:dyDescent="0.2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</row>
    <row r="290" spans="2:120" x14ac:dyDescent="0.2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</row>
    <row r="291" spans="2:120" x14ac:dyDescent="0.2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</row>
    <row r="292" spans="2:120" x14ac:dyDescent="0.2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</row>
    <row r="293" spans="2:120" x14ac:dyDescent="0.2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</row>
    <row r="294" spans="2:120" x14ac:dyDescent="0.2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</row>
    <row r="295" spans="2:120" x14ac:dyDescent="0.2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</row>
    <row r="296" spans="2:120" x14ac:dyDescent="0.2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</row>
    <row r="297" spans="2:120" x14ac:dyDescent="0.2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</row>
    <row r="298" spans="2:120" x14ac:dyDescent="0.2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</row>
    <row r="299" spans="2:120" x14ac:dyDescent="0.2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</row>
    <row r="300" spans="2:120" x14ac:dyDescent="0.2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</row>
    <row r="301" spans="2:120" x14ac:dyDescent="0.2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</row>
    <row r="302" spans="2:120" x14ac:dyDescent="0.2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</row>
    <row r="303" spans="2:120" x14ac:dyDescent="0.2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</row>
    <row r="304" spans="2:120" x14ac:dyDescent="0.2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</row>
    <row r="305" spans="2:120" x14ac:dyDescent="0.2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</row>
    <row r="306" spans="2:120" x14ac:dyDescent="0.2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</row>
    <row r="307" spans="2:120" x14ac:dyDescent="0.2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</row>
    <row r="308" spans="2:120" x14ac:dyDescent="0.2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</row>
    <row r="309" spans="2:120" x14ac:dyDescent="0.2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</row>
    <row r="310" spans="2:120" x14ac:dyDescent="0.2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</row>
    <row r="311" spans="2:120" x14ac:dyDescent="0.2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</row>
    <row r="312" spans="2:120" x14ac:dyDescent="0.2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</row>
    <row r="313" spans="2:120" x14ac:dyDescent="0.2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</row>
    <row r="314" spans="2:120" x14ac:dyDescent="0.2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</row>
    <row r="315" spans="2:120" x14ac:dyDescent="0.2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</row>
    <row r="316" spans="2:120" x14ac:dyDescent="0.2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</row>
    <row r="317" spans="2:120" x14ac:dyDescent="0.2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</row>
    <row r="318" spans="2:120" x14ac:dyDescent="0.2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</row>
    <row r="319" spans="2:120" x14ac:dyDescent="0.2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</row>
    <row r="320" spans="2:120" x14ac:dyDescent="0.2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</row>
    <row r="321" spans="2:120" x14ac:dyDescent="0.2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</row>
    <row r="322" spans="2:120" x14ac:dyDescent="0.2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</row>
    <row r="323" spans="2:120" x14ac:dyDescent="0.2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</row>
    <row r="324" spans="2:120" x14ac:dyDescent="0.2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</row>
    <row r="325" spans="2:120" x14ac:dyDescent="0.2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</row>
    <row r="326" spans="2:120" x14ac:dyDescent="0.2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</row>
    <row r="327" spans="2:120" x14ac:dyDescent="0.2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</row>
    <row r="328" spans="2:120" x14ac:dyDescent="0.2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</row>
    <row r="329" spans="2:120" x14ac:dyDescent="0.2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</row>
    <row r="330" spans="2:120" x14ac:dyDescent="0.2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</row>
    <row r="331" spans="2:120" x14ac:dyDescent="0.2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</row>
    <row r="332" spans="2:120" x14ac:dyDescent="0.2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</row>
    <row r="333" spans="2:120" x14ac:dyDescent="0.2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</row>
    <row r="334" spans="2:120" x14ac:dyDescent="0.2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</row>
    <row r="335" spans="2:120" x14ac:dyDescent="0.2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</row>
    <row r="336" spans="2:120" x14ac:dyDescent="0.2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</row>
    <row r="337" spans="2:120" x14ac:dyDescent="0.2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</row>
    <row r="338" spans="2:120" x14ac:dyDescent="0.2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</row>
    <row r="339" spans="2:120" x14ac:dyDescent="0.2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</row>
    <row r="340" spans="2:120" x14ac:dyDescent="0.2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</row>
    <row r="341" spans="2:120" x14ac:dyDescent="0.2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</row>
    <row r="342" spans="2:120" x14ac:dyDescent="0.2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</row>
    <row r="343" spans="2:120" x14ac:dyDescent="0.2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</row>
    <row r="344" spans="2:120" x14ac:dyDescent="0.2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</row>
    <row r="345" spans="2:120" x14ac:dyDescent="0.2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</row>
    <row r="346" spans="2:120" x14ac:dyDescent="0.2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</row>
    <row r="347" spans="2:120" x14ac:dyDescent="0.2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</row>
    <row r="348" spans="2:120" x14ac:dyDescent="0.2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</row>
    <row r="349" spans="2:120" x14ac:dyDescent="0.2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</row>
    <row r="350" spans="2:120" x14ac:dyDescent="0.2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</row>
    <row r="351" spans="2:120" x14ac:dyDescent="0.2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</row>
    <row r="352" spans="2:120" x14ac:dyDescent="0.2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</row>
    <row r="353" spans="2:120" x14ac:dyDescent="0.2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</row>
    <row r="354" spans="2:120" x14ac:dyDescent="0.2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</row>
    <row r="355" spans="2:120" x14ac:dyDescent="0.2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</row>
    <row r="356" spans="2:120" x14ac:dyDescent="0.2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</row>
    <row r="357" spans="2:120" x14ac:dyDescent="0.2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</row>
    <row r="358" spans="2:120" x14ac:dyDescent="0.2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</row>
    <row r="359" spans="2:120" x14ac:dyDescent="0.2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</row>
    <row r="360" spans="2:120" x14ac:dyDescent="0.2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</row>
    <row r="361" spans="2:120" x14ac:dyDescent="0.2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</row>
    <row r="362" spans="2:120" x14ac:dyDescent="0.2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</row>
    <row r="363" spans="2:120" x14ac:dyDescent="0.2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</row>
    <row r="364" spans="2:120" x14ac:dyDescent="0.2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</row>
    <row r="365" spans="2:120" x14ac:dyDescent="0.2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</row>
    <row r="366" spans="2:120" x14ac:dyDescent="0.2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</row>
    <row r="367" spans="2:120" x14ac:dyDescent="0.2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</row>
    <row r="368" spans="2:120" x14ac:dyDescent="0.2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</row>
    <row r="369" spans="2:120" x14ac:dyDescent="0.2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</row>
    <row r="370" spans="2:120" x14ac:dyDescent="0.2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</row>
    <row r="371" spans="2:120" x14ac:dyDescent="0.2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</row>
    <row r="372" spans="2:120" x14ac:dyDescent="0.2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</row>
    <row r="373" spans="2:120" x14ac:dyDescent="0.2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</row>
    <row r="374" spans="2:120" x14ac:dyDescent="0.2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</row>
    <row r="375" spans="2:120" x14ac:dyDescent="0.2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</row>
    <row r="376" spans="2:120" x14ac:dyDescent="0.2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</row>
    <row r="377" spans="2:120" x14ac:dyDescent="0.2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</row>
    <row r="378" spans="2:120" x14ac:dyDescent="0.2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</row>
    <row r="379" spans="2:120" x14ac:dyDescent="0.2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</row>
    <row r="380" spans="2:120" x14ac:dyDescent="0.2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</row>
    <row r="381" spans="2:120" x14ac:dyDescent="0.2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</row>
    <row r="382" spans="2:120" x14ac:dyDescent="0.2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</row>
    <row r="383" spans="2:120" x14ac:dyDescent="0.2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</row>
    <row r="384" spans="2:120" x14ac:dyDescent="0.2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</row>
    <row r="385" spans="2:120" x14ac:dyDescent="0.2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</row>
    <row r="386" spans="2:120" x14ac:dyDescent="0.2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</row>
    <row r="387" spans="2:120" x14ac:dyDescent="0.2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</row>
    <row r="388" spans="2:120" x14ac:dyDescent="0.2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</row>
    <row r="389" spans="2:120" x14ac:dyDescent="0.2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</row>
    <row r="390" spans="2:120" x14ac:dyDescent="0.2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</row>
    <row r="391" spans="2:120" x14ac:dyDescent="0.2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</row>
    <row r="392" spans="2:120" x14ac:dyDescent="0.2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</row>
    <row r="393" spans="2:120" x14ac:dyDescent="0.2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</row>
    <row r="394" spans="2:120" x14ac:dyDescent="0.2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</row>
    <row r="395" spans="2:120" x14ac:dyDescent="0.2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</row>
    <row r="396" spans="2:120" x14ac:dyDescent="0.2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</row>
    <row r="397" spans="2:120" x14ac:dyDescent="0.2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</row>
    <row r="398" spans="2:120" x14ac:dyDescent="0.2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</row>
    <row r="399" spans="2:120" x14ac:dyDescent="0.2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</row>
    <row r="400" spans="2:120" x14ac:dyDescent="0.2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</row>
    <row r="401" spans="2:120" x14ac:dyDescent="0.2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</row>
    <row r="402" spans="2:120" x14ac:dyDescent="0.2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</row>
    <row r="403" spans="2:120" x14ac:dyDescent="0.2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</row>
    <row r="404" spans="2:120" x14ac:dyDescent="0.2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</row>
    <row r="405" spans="2:120" x14ac:dyDescent="0.2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</row>
    <row r="406" spans="2:120" x14ac:dyDescent="0.2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</row>
    <row r="407" spans="2:120" x14ac:dyDescent="0.2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</row>
    <row r="408" spans="2:120" x14ac:dyDescent="0.2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</row>
    <row r="409" spans="2:120" x14ac:dyDescent="0.2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</row>
    <row r="410" spans="2:120" x14ac:dyDescent="0.2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</row>
    <row r="411" spans="2:120" x14ac:dyDescent="0.2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</row>
    <row r="412" spans="2:120" x14ac:dyDescent="0.2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</row>
    <row r="413" spans="2:120" x14ac:dyDescent="0.2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</row>
    <row r="414" spans="2:120" x14ac:dyDescent="0.2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</row>
    <row r="415" spans="2:120" x14ac:dyDescent="0.2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</row>
    <row r="416" spans="2:120" x14ac:dyDescent="0.2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</row>
    <row r="417" spans="2:120" x14ac:dyDescent="0.2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</row>
    <row r="418" spans="2:120" x14ac:dyDescent="0.2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</row>
    <row r="419" spans="2:120" x14ac:dyDescent="0.2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</row>
    <row r="420" spans="2:120" x14ac:dyDescent="0.2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</row>
    <row r="421" spans="2:120" x14ac:dyDescent="0.2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</row>
    <row r="422" spans="2:120" x14ac:dyDescent="0.2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</row>
    <row r="423" spans="2:120" x14ac:dyDescent="0.2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</row>
    <row r="424" spans="2:120" x14ac:dyDescent="0.2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</row>
    <row r="425" spans="2:120" x14ac:dyDescent="0.2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</row>
    <row r="426" spans="2:120" x14ac:dyDescent="0.2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</row>
    <row r="427" spans="2:120" x14ac:dyDescent="0.2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</row>
    <row r="428" spans="2:120" x14ac:dyDescent="0.2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</row>
    <row r="429" spans="2:120" x14ac:dyDescent="0.2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</row>
    <row r="430" spans="2:120" x14ac:dyDescent="0.2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</row>
    <row r="431" spans="2:120" x14ac:dyDescent="0.2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</row>
    <row r="432" spans="2:120" x14ac:dyDescent="0.2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</row>
    <row r="433" spans="2:120" x14ac:dyDescent="0.2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</row>
    <row r="434" spans="2:120" x14ac:dyDescent="0.2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</row>
    <row r="435" spans="2:120" x14ac:dyDescent="0.2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</row>
    <row r="436" spans="2:120" x14ac:dyDescent="0.2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</row>
    <row r="437" spans="2:120" x14ac:dyDescent="0.2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</row>
    <row r="438" spans="2:120" x14ac:dyDescent="0.2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</row>
    <row r="439" spans="2:120" x14ac:dyDescent="0.2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</row>
    <row r="440" spans="2:120" x14ac:dyDescent="0.2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</row>
    <row r="441" spans="2:120" x14ac:dyDescent="0.2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</row>
    <row r="442" spans="2:120" x14ac:dyDescent="0.2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</row>
    <row r="443" spans="2:120" x14ac:dyDescent="0.2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</row>
    <row r="444" spans="2:120" x14ac:dyDescent="0.2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</row>
    <row r="445" spans="2:120" x14ac:dyDescent="0.2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</row>
    <row r="446" spans="2:120" x14ac:dyDescent="0.2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</row>
    <row r="447" spans="2:120" x14ac:dyDescent="0.2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</row>
    <row r="448" spans="2:120" x14ac:dyDescent="0.2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</row>
    <row r="449" spans="2:120" x14ac:dyDescent="0.2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</row>
    <row r="450" spans="2:120" x14ac:dyDescent="0.2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</row>
    <row r="451" spans="2:120" x14ac:dyDescent="0.2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</row>
    <row r="452" spans="2:120" x14ac:dyDescent="0.2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</row>
    <row r="453" spans="2:120" x14ac:dyDescent="0.2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</row>
    <row r="454" spans="2:120" x14ac:dyDescent="0.2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</row>
    <row r="455" spans="2:120" x14ac:dyDescent="0.2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</row>
    <row r="456" spans="2:120" x14ac:dyDescent="0.2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</row>
    <row r="457" spans="2:120" x14ac:dyDescent="0.2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</row>
    <row r="458" spans="2:120" x14ac:dyDescent="0.2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</row>
    <row r="459" spans="2:120" x14ac:dyDescent="0.2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</row>
    <row r="460" spans="2:120" x14ac:dyDescent="0.2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</row>
    <row r="461" spans="2:120" x14ac:dyDescent="0.2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</row>
    <row r="462" spans="2:120" x14ac:dyDescent="0.2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</row>
    <row r="463" spans="2:120" x14ac:dyDescent="0.2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</row>
    <row r="464" spans="2:120" x14ac:dyDescent="0.2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</row>
    <row r="465" spans="2:120" x14ac:dyDescent="0.2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</row>
    <row r="466" spans="2:120" x14ac:dyDescent="0.2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</row>
    <row r="467" spans="2:120" x14ac:dyDescent="0.2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</row>
    <row r="468" spans="2:120" x14ac:dyDescent="0.2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</row>
    <row r="469" spans="2:120" x14ac:dyDescent="0.2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</row>
    <row r="470" spans="2:120" x14ac:dyDescent="0.2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</row>
    <row r="471" spans="2:120" x14ac:dyDescent="0.2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</row>
    <row r="472" spans="2:120" x14ac:dyDescent="0.2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</row>
    <row r="473" spans="2:120" x14ac:dyDescent="0.2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</row>
    <row r="474" spans="2:120" x14ac:dyDescent="0.2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</row>
    <row r="475" spans="2:120" x14ac:dyDescent="0.2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</row>
    <row r="476" spans="2:120" x14ac:dyDescent="0.2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</row>
    <row r="477" spans="2:120" x14ac:dyDescent="0.2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</row>
    <row r="478" spans="2:120" x14ac:dyDescent="0.2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</row>
    <row r="479" spans="2:120" x14ac:dyDescent="0.2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</row>
    <row r="480" spans="2:120" x14ac:dyDescent="0.2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</row>
    <row r="481" spans="2:120" x14ac:dyDescent="0.2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</row>
    <row r="482" spans="2:120" x14ac:dyDescent="0.2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</row>
    <row r="483" spans="2:120" x14ac:dyDescent="0.2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</row>
    <row r="484" spans="2:120" x14ac:dyDescent="0.2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</row>
    <row r="485" spans="2:120" x14ac:dyDescent="0.2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</row>
    <row r="486" spans="2:120" x14ac:dyDescent="0.2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</row>
    <row r="487" spans="2:120" x14ac:dyDescent="0.2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</row>
    <row r="488" spans="2:120" x14ac:dyDescent="0.2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</row>
    <row r="489" spans="2:120" x14ac:dyDescent="0.2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</row>
    <row r="490" spans="2:120" x14ac:dyDescent="0.2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</row>
    <row r="491" spans="2:120" x14ac:dyDescent="0.2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</row>
    <row r="492" spans="2:120" x14ac:dyDescent="0.2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</row>
    <row r="493" spans="2:120" x14ac:dyDescent="0.2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</row>
    <row r="494" spans="2:120" x14ac:dyDescent="0.2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</row>
    <row r="495" spans="2:120" x14ac:dyDescent="0.2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</row>
    <row r="496" spans="2:120" x14ac:dyDescent="0.2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</row>
    <row r="497" spans="2:120" x14ac:dyDescent="0.2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</row>
    <row r="498" spans="2:120" x14ac:dyDescent="0.2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</row>
    <row r="499" spans="2:120" x14ac:dyDescent="0.2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</row>
    <row r="500" spans="2:120" x14ac:dyDescent="0.2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</row>
    <row r="501" spans="2:120" x14ac:dyDescent="0.2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</row>
    <row r="502" spans="2:120" x14ac:dyDescent="0.2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</row>
    <row r="503" spans="2:120" x14ac:dyDescent="0.2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</row>
    <row r="504" spans="2:120" x14ac:dyDescent="0.2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</row>
    <row r="505" spans="2:120" x14ac:dyDescent="0.2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</row>
    <row r="506" spans="2:120" x14ac:dyDescent="0.2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</row>
    <row r="507" spans="2:120" x14ac:dyDescent="0.2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</row>
    <row r="508" spans="2:120" x14ac:dyDescent="0.2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</row>
    <row r="509" spans="2:120" x14ac:dyDescent="0.2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</row>
    <row r="510" spans="2:120" x14ac:dyDescent="0.2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</row>
    <row r="511" spans="2:120" x14ac:dyDescent="0.2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</row>
    <row r="512" spans="2:120" x14ac:dyDescent="0.2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</row>
    <row r="513" spans="2:120" x14ac:dyDescent="0.2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</row>
    <row r="514" spans="2:120" x14ac:dyDescent="0.2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</row>
    <row r="515" spans="2:120" x14ac:dyDescent="0.2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</row>
    <row r="516" spans="2:120" x14ac:dyDescent="0.2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</row>
    <row r="517" spans="2:120" x14ac:dyDescent="0.2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</row>
    <row r="518" spans="2:120" x14ac:dyDescent="0.2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</row>
    <row r="519" spans="2:120" x14ac:dyDescent="0.2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</row>
    <row r="520" spans="2:120" x14ac:dyDescent="0.2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</row>
    <row r="521" spans="2:120" x14ac:dyDescent="0.2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</row>
    <row r="522" spans="2:120" x14ac:dyDescent="0.2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</row>
    <row r="523" spans="2:120" x14ac:dyDescent="0.2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</row>
    <row r="524" spans="2:120" x14ac:dyDescent="0.2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</row>
    <row r="525" spans="2:120" x14ac:dyDescent="0.2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</row>
    <row r="526" spans="2:120" x14ac:dyDescent="0.2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</row>
    <row r="527" spans="2:120" x14ac:dyDescent="0.2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</row>
    <row r="528" spans="2:120" x14ac:dyDescent="0.2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</row>
    <row r="529" spans="2:120" x14ac:dyDescent="0.2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</row>
    <row r="530" spans="2:120" x14ac:dyDescent="0.2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</row>
    <row r="531" spans="2:120" x14ac:dyDescent="0.2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</row>
    <row r="532" spans="2:120" x14ac:dyDescent="0.2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</row>
    <row r="533" spans="2:120" x14ac:dyDescent="0.2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</row>
    <row r="534" spans="2:120" x14ac:dyDescent="0.2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</row>
    <row r="535" spans="2:120" x14ac:dyDescent="0.2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</row>
    <row r="536" spans="2:120" x14ac:dyDescent="0.2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</row>
    <row r="537" spans="2:120" x14ac:dyDescent="0.2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</row>
    <row r="538" spans="2:120" x14ac:dyDescent="0.2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</row>
    <row r="539" spans="2:120" x14ac:dyDescent="0.2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</row>
    <row r="540" spans="2:120" x14ac:dyDescent="0.2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</row>
    <row r="541" spans="2:120" x14ac:dyDescent="0.2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</row>
    <row r="542" spans="2:120" x14ac:dyDescent="0.2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</row>
    <row r="543" spans="2:120" x14ac:dyDescent="0.2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</row>
    <row r="544" spans="2:120" x14ac:dyDescent="0.2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</row>
    <row r="545" spans="2:120" x14ac:dyDescent="0.2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</row>
    <row r="546" spans="2:120" x14ac:dyDescent="0.2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</row>
    <row r="547" spans="2:120" x14ac:dyDescent="0.2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</row>
    <row r="548" spans="2:120" x14ac:dyDescent="0.2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</row>
    <row r="549" spans="2:120" x14ac:dyDescent="0.2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</row>
    <row r="550" spans="2:120" x14ac:dyDescent="0.2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</row>
    <row r="551" spans="2:120" x14ac:dyDescent="0.2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</row>
    <row r="552" spans="2:120" x14ac:dyDescent="0.2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</row>
    <row r="553" spans="2:120" x14ac:dyDescent="0.2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</row>
    <row r="554" spans="2:120" x14ac:dyDescent="0.2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</row>
    <row r="555" spans="2:120" x14ac:dyDescent="0.2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</row>
    <row r="556" spans="2:120" x14ac:dyDescent="0.2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</row>
    <row r="557" spans="2:120" x14ac:dyDescent="0.2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</row>
    <row r="558" spans="2:120" x14ac:dyDescent="0.2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</row>
    <row r="559" spans="2:120" x14ac:dyDescent="0.2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</row>
    <row r="560" spans="2:120" x14ac:dyDescent="0.2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</row>
    <row r="561" spans="2:120" x14ac:dyDescent="0.2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</row>
    <row r="562" spans="2:120" x14ac:dyDescent="0.2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</row>
    <row r="563" spans="2:120" x14ac:dyDescent="0.2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</row>
    <row r="564" spans="2:120" x14ac:dyDescent="0.2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</row>
    <row r="565" spans="2:120" x14ac:dyDescent="0.2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</row>
    <row r="566" spans="2:120" x14ac:dyDescent="0.2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</row>
    <row r="567" spans="2:120" x14ac:dyDescent="0.2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</row>
    <row r="568" spans="2:120" x14ac:dyDescent="0.2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</row>
    <row r="569" spans="2:120" x14ac:dyDescent="0.2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</row>
    <row r="570" spans="2:120" x14ac:dyDescent="0.2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</row>
    <row r="571" spans="2:120" x14ac:dyDescent="0.2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</row>
    <row r="572" spans="2:120" x14ac:dyDescent="0.2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</row>
    <row r="573" spans="2:120" x14ac:dyDescent="0.2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</row>
    <row r="574" spans="2:120" x14ac:dyDescent="0.2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</row>
    <row r="575" spans="2:120" x14ac:dyDescent="0.2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</row>
    <row r="576" spans="2:120" x14ac:dyDescent="0.2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</row>
    <row r="577" spans="2:120" x14ac:dyDescent="0.2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</row>
    <row r="578" spans="2:120" x14ac:dyDescent="0.2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</row>
    <row r="579" spans="2:120" x14ac:dyDescent="0.2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</row>
    <row r="580" spans="2:120" x14ac:dyDescent="0.2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</row>
    <row r="581" spans="2:120" x14ac:dyDescent="0.2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</row>
    <row r="582" spans="2:120" x14ac:dyDescent="0.2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</row>
    <row r="583" spans="2:120" x14ac:dyDescent="0.2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</row>
    <row r="584" spans="2:120" x14ac:dyDescent="0.2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</row>
    <row r="585" spans="2:120" x14ac:dyDescent="0.2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</row>
    <row r="586" spans="2:120" x14ac:dyDescent="0.2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</row>
    <row r="587" spans="2:120" x14ac:dyDescent="0.2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</row>
    <row r="588" spans="2:120" x14ac:dyDescent="0.2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</row>
    <row r="589" spans="2:120" x14ac:dyDescent="0.2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</row>
    <row r="590" spans="2:120" x14ac:dyDescent="0.2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</row>
    <row r="591" spans="2:120" x14ac:dyDescent="0.2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</row>
    <row r="592" spans="2:120" x14ac:dyDescent="0.2"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</row>
    <row r="593" spans="3:120" x14ac:dyDescent="0.2"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</row>
    <row r="594" spans="3:120" x14ac:dyDescent="0.2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</row>
    <row r="595" spans="3:120" x14ac:dyDescent="0.2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</row>
    <row r="596" spans="3:120" x14ac:dyDescent="0.2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</row>
    <row r="597" spans="3:120" x14ac:dyDescent="0.2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</row>
    <row r="598" spans="3:120" x14ac:dyDescent="0.2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</row>
    <row r="599" spans="3:120" x14ac:dyDescent="0.2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</row>
    <row r="600" spans="3:120" x14ac:dyDescent="0.2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</row>
    <row r="601" spans="3:120" x14ac:dyDescent="0.2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</row>
    <row r="602" spans="3:120" x14ac:dyDescent="0.2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</row>
    <row r="603" spans="3:120" x14ac:dyDescent="0.2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</row>
    <row r="604" spans="3:120" x14ac:dyDescent="0.2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</row>
    <row r="605" spans="3:120" x14ac:dyDescent="0.2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</row>
    <row r="606" spans="3:120" x14ac:dyDescent="0.2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</row>
    <row r="607" spans="3:120" x14ac:dyDescent="0.2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</row>
    <row r="608" spans="3:120" x14ac:dyDescent="0.2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</row>
    <row r="609" spans="3:120" x14ac:dyDescent="0.2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</row>
    <row r="610" spans="3:120" x14ac:dyDescent="0.2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</row>
    <row r="611" spans="3:120" x14ac:dyDescent="0.2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</row>
    <row r="612" spans="3:120" x14ac:dyDescent="0.2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</row>
    <row r="613" spans="3:120" x14ac:dyDescent="0.2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</row>
    <row r="614" spans="3:120" x14ac:dyDescent="0.2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</row>
    <row r="615" spans="3:120" x14ac:dyDescent="0.2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</row>
    <row r="616" spans="3:120" x14ac:dyDescent="0.2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</row>
    <row r="617" spans="3:120" x14ac:dyDescent="0.2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</row>
    <row r="618" spans="3:120" x14ac:dyDescent="0.2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</row>
    <row r="619" spans="3:120" x14ac:dyDescent="0.2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</row>
    <row r="620" spans="3:120" x14ac:dyDescent="0.2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</row>
    <row r="621" spans="3:120" x14ac:dyDescent="0.2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</row>
    <row r="622" spans="3:120" x14ac:dyDescent="0.2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</row>
    <row r="623" spans="3:120" x14ac:dyDescent="0.2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</row>
    <row r="624" spans="3:120" x14ac:dyDescent="0.2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</row>
    <row r="625" spans="3:120" x14ac:dyDescent="0.2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</row>
    <row r="626" spans="3:120" x14ac:dyDescent="0.2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</row>
    <row r="627" spans="3:120" x14ac:dyDescent="0.2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</row>
    <row r="628" spans="3:120" x14ac:dyDescent="0.2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</row>
    <row r="629" spans="3:120" x14ac:dyDescent="0.2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</row>
    <row r="630" spans="3:120" x14ac:dyDescent="0.2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</row>
    <row r="631" spans="3:120" x14ac:dyDescent="0.2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</row>
    <row r="632" spans="3:120" x14ac:dyDescent="0.2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</row>
    <row r="633" spans="3:120" x14ac:dyDescent="0.2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</row>
    <row r="634" spans="3:120" x14ac:dyDescent="0.2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</row>
    <row r="635" spans="3:120" x14ac:dyDescent="0.2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</row>
    <row r="636" spans="3:120" x14ac:dyDescent="0.2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</row>
    <row r="637" spans="3:120" x14ac:dyDescent="0.2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</row>
    <row r="638" spans="3:120" x14ac:dyDescent="0.2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</row>
    <row r="639" spans="3:120" x14ac:dyDescent="0.2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</row>
    <row r="640" spans="3:120" x14ac:dyDescent="0.2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</row>
    <row r="641" spans="3:120" x14ac:dyDescent="0.2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</row>
    <row r="642" spans="3:120" x14ac:dyDescent="0.2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</row>
    <row r="643" spans="3:120" x14ac:dyDescent="0.2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</row>
    <row r="644" spans="3:120" x14ac:dyDescent="0.2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</row>
    <row r="645" spans="3:120" x14ac:dyDescent="0.2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  <c r="DK645" s="22"/>
      <c r="DL645" s="22"/>
      <c r="DM645" s="22"/>
      <c r="DN645" s="22"/>
      <c r="DO645" s="22"/>
      <c r="DP645" s="22"/>
    </row>
    <row r="646" spans="3:120" x14ac:dyDescent="0.2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  <c r="DK646" s="22"/>
      <c r="DL646" s="22"/>
      <c r="DM646" s="22"/>
      <c r="DN646" s="22"/>
      <c r="DO646" s="22"/>
      <c r="DP646" s="22"/>
    </row>
    <row r="647" spans="3:120" x14ac:dyDescent="0.2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</row>
    <row r="648" spans="3:120" x14ac:dyDescent="0.2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</row>
    <row r="649" spans="3:120" x14ac:dyDescent="0.2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</row>
    <row r="650" spans="3:120" x14ac:dyDescent="0.2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  <c r="DK650" s="22"/>
      <c r="DL650" s="22"/>
      <c r="DM650" s="22"/>
      <c r="DN650" s="22"/>
      <c r="DO650" s="22"/>
      <c r="DP650" s="22"/>
    </row>
    <row r="651" spans="3:120" x14ac:dyDescent="0.2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</row>
    <row r="652" spans="3:120" x14ac:dyDescent="0.2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</row>
    <row r="653" spans="3:120" x14ac:dyDescent="0.2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</row>
    <row r="654" spans="3:120" x14ac:dyDescent="0.2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</row>
    <row r="655" spans="3:120" x14ac:dyDescent="0.2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</row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tabSelected="1" zoomScaleNormal="100" workbookViewId="0">
      <selection activeCell="S21" sqref="S21"/>
    </sheetView>
  </sheetViews>
  <sheetFormatPr defaultRowHeight="12.75" x14ac:dyDescent="0.2"/>
  <cols>
    <col min="1" max="1" width="12.42578125" style="1" customWidth="1"/>
    <col min="2" max="2" width="9.140625" style="1"/>
    <col min="3" max="3" width="23.42578125" style="1" customWidth="1"/>
    <col min="4" max="6" width="8.28515625" style="1" customWidth="1"/>
    <col min="7" max="7" width="6.7109375" style="1" customWidth="1"/>
    <col min="8" max="8" width="7.5703125" style="1" customWidth="1"/>
    <col min="9" max="9" width="7.28515625" style="1" customWidth="1"/>
    <col min="10" max="10" width="7.5703125" style="1" customWidth="1"/>
    <col min="11" max="11" width="7.28515625" style="1" customWidth="1"/>
    <col min="12" max="12" width="6.85546875" style="1" customWidth="1"/>
    <col min="13" max="13" width="7.85546875" style="1" customWidth="1"/>
    <col min="14" max="14" width="6.7109375" style="1" customWidth="1"/>
    <col min="15" max="15" width="7.7109375" style="1" customWidth="1"/>
    <col min="16" max="16" width="7.42578125" style="1" customWidth="1"/>
    <col min="17" max="17" width="12" style="1" customWidth="1"/>
    <col min="18" max="16384" width="9.140625" style="1"/>
  </cols>
  <sheetData>
    <row r="1" spans="1:17" ht="22.5" x14ac:dyDescent="0.2">
      <c r="A1" s="3" t="s">
        <v>228</v>
      </c>
      <c r="B1" s="4"/>
      <c r="C1" s="4"/>
      <c r="D1" s="4"/>
      <c r="E1" s="4"/>
      <c r="F1" s="4"/>
      <c r="G1" s="4"/>
      <c r="H1" s="4"/>
      <c r="I1" s="4"/>
      <c r="J1" s="13"/>
      <c r="K1" s="4"/>
      <c r="L1" s="4"/>
      <c r="M1" s="4"/>
      <c r="N1" s="4"/>
      <c r="O1" s="4"/>
      <c r="P1" s="54"/>
      <c r="Q1" s="54"/>
    </row>
    <row r="2" spans="1:17" ht="18.75" x14ac:dyDescent="0.2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4"/>
      <c r="Q2" s="54"/>
    </row>
    <row r="3" spans="1:17" ht="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9.75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9"/>
      <c r="P4" s="54"/>
      <c r="Q4" s="54"/>
    </row>
    <row r="5" spans="1:17" ht="16.5" thickBot="1" x14ac:dyDescent="0.2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87"/>
      <c r="N5" s="4"/>
      <c r="P5" s="54"/>
      <c r="Q5" s="20">
        <v>1</v>
      </c>
    </row>
    <row r="6" spans="1:17" ht="18.75" x14ac:dyDescent="0.2">
      <c r="A6" s="6" t="s">
        <v>1</v>
      </c>
      <c r="B6" s="92" t="str">
        <f>VLOOKUP(Q5,'Code Sheet'!A1:G36,2,TRUE)</f>
        <v>Agri-Civic Center</v>
      </c>
      <c r="C6" s="92"/>
      <c r="D6" s="92"/>
      <c r="E6" s="4"/>
      <c r="F6" s="4"/>
      <c r="G6" s="4"/>
      <c r="H6" s="5" t="s">
        <v>43</v>
      </c>
      <c r="I6" s="4"/>
      <c r="J6" s="12">
        <v>2014</v>
      </c>
      <c r="K6" s="4"/>
      <c r="L6" s="4"/>
      <c r="M6" s="4"/>
      <c r="N6" s="4"/>
      <c r="O6" s="4"/>
      <c r="P6" s="54"/>
      <c r="Q6" s="54" t="s">
        <v>342</v>
      </c>
    </row>
    <row r="7" spans="1:17" ht="7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4"/>
      <c r="Q7" s="54"/>
    </row>
    <row r="8" spans="1:17" ht="9.7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4"/>
      <c r="Q8" s="54"/>
    </row>
    <row r="9" spans="1:17" ht="17.25" thickTop="1" thickBot="1" x14ac:dyDescent="0.25">
      <c r="A9" s="7" t="s">
        <v>2</v>
      </c>
      <c r="B9" s="8"/>
      <c r="C9" s="9"/>
      <c r="D9" s="14"/>
      <c r="E9" s="14"/>
      <c r="F9" s="14"/>
      <c r="G9" s="14"/>
      <c r="H9" s="14"/>
      <c r="I9" s="14"/>
      <c r="J9" s="14"/>
      <c r="K9" s="14"/>
      <c r="L9" s="14"/>
      <c r="M9" s="35"/>
      <c r="N9" s="14"/>
      <c r="O9" s="14"/>
      <c r="P9" s="55"/>
      <c r="Q9" s="56"/>
    </row>
    <row r="10" spans="1:17" ht="15" x14ac:dyDescent="0.2">
      <c r="A10" s="33"/>
      <c r="B10" s="34"/>
      <c r="C10" s="34"/>
      <c r="D10" s="30" t="s">
        <v>93</v>
      </c>
      <c r="E10" s="30" t="s">
        <v>94</v>
      </c>
      <c r="F10" s="30" t="s">
        <v>95</v>
      </c>
      <c r="G10" s="30" t="s">
        <v>17</v>
      </c>
      <c r="H10" s="30" t="s">
        <v>18</v>
      </c>
      <c r="I10" s="30" t="s">
        <v>19</v>
      </c>
      <c r="J10" s="30" t="s">
        <v>35</v>
      </c>
      <c r="K10" s="30" t="s">
        <v>36</v>
      </c>
      <c r="L10" s="30" t="s">
        <v>37</v>
      </c>
      <c r="M10" s="30" t="s">
        <v>38</v>
      </c>
      <c r="N10" s="30" t="s">
        <v>39</v>
      </c>
      <c r="O10" s="30" t="s">
        <v>40</v>
      </c>
      <c r="P10" s="57" t="s">
        <v>502</v>
      </c>
      <c r="Q10" s="58" t="s">
        <v>503</v>
      </c>
    </row>
    <row r="11" spans="1:17" ht="30" customHeight="1" x14ac:dyDescent="0.2">
      <c r="A11" s="88" t="str">
        <f>VLOOKUP(Q5,'Code Sheet'!A1:G36,3,TRUE)</f>
        <v xml:space="preserve">$ Total revenue </v>
      </c>
      <c r="B11" s="89"/>
      <c r="C11" s="89"/>
      <c r="D11" s="31">
        <f>VLOOKUP(Q5,'SRT Data'!A:EZ,3,TRUE)</f>
        <v>550</v>
      </c>
      <c r="E11" s="31">
        <f>VLOOKUP(Q5,'SRT Data'!A:EZ,16,TRUE)</f>
        <v>3825</v>
      </c>
      <c r="F11" s="31">
        <f>VLOOKUP(Q5,'SRT Data'!A:EZ,29,TRUE)</f>
        <v>4756</v>
      </c>
      <c r="G11" s="31">
        <f>VLOOKUP(Q5,'SRT Data'!A:FA,42,TRUE)</f>
        <v>4127</v>
      </c>
      <c r="H11" s="31">
        <f>VLOOKUP(Q5,'SRT Data'!A:FA,55,TRUE)</f>
        <v>4813</v>
      </c>
      <c r="I11" s="31">
        <f>VLOOKUP(Q5,'SRT Data'!A:FA,68,TRUE)</f>
        <v>3124</v>
      </c>
      <c r="J11" s="31">
        <f>VLOOKUP(Q5,'SRT Data'!A:FA,81,TRUE)</f>
        <v>10050</v>
      </c>
      <c r="K11" s="31">
        <f>VLOOKUP(Q5,'SRT Data'!A:FA,94,TRUE)</f>
        <v>6481</v>
      </c>
      <c r="L11" s="31">
        <f>VLOOKUP(Q5,'SRT Data'!A:FA,107,TRUE)</f>
        <v>2986</v>
      </c>
      <c r="M11" s="31">
        <f>VLOOKUP(Q5,'SRT Data'!A:FA,120,TRUE)</f>
        <v>8636</v>
      </c>
      <c r="N11" s="31">
        <f>VLOOKUP(Q5,'SRT Data'!A:FA,133,TRUE)</f>
        <v>9832</v>
      </c>
      <c r="O11" s="31">
        <f>VLOOKUP(Q5,'SRT Data'!A:FB,146,TRUE)</f>
        <v>4925</v>
      </c>
      <c r="P11" s="59">
        <f>VLOOKUP(Q5,'SRT Data'!A:FO,159,TRUE)</f>
        <v>42000</v>
      </c>
      <c r="Q11" s="61">
        <f>SUM(D11:O11)/P11</f>
        <v>1.5263095238095239</v>
      </c>
    </row>
    <row r="12" spans="1:17" ht="30" customHeight="1" x14ac:dyDescent="0.2">
      <c r="A12" s="88" t="str">
        <f>VLOOKUP(Q5,'Code Sheet'!A1:G36,4,TRUE)</f>
        <v xml:space="preserve"># Paid events </v>
      </c>
      <c r="B12" s="89"/>
      <c r="C12" s="89"/>
      <c r="D12" s="31">
        <f>VLOOKUP(Q5,'SRT Data'!A:EZ,4,TRUE)</f>
        <v>3</v>
      </c>
      <c r="E12" s="31">
        <f>VLOOKUP(Q5,'SRT Data'!A:EZ,17,TRUE)</f>
        <v>3</v>
      </c>
      <c r="F12" s="31">
        <f>VLOOKUP(Q5,'SRT Data'!A:EZ,30,TRUE)</f>
        <v>5</v>
      </c>
      <c r="G12" s="31">
        <f>VLOOKUP(Q5,'SRT Data'!A:FA,43,TRUE)</f>
        <v>6</v>
      </c>
      <c r="H12" s="31">
        <f>VLOOKUP(Q5,'SRT Data'!A:FA,56,TRUE)</f>
        <v>4</v>
      </c>
      <c r="I12" s="31">
        <f>VLOOKUP(Q5,'SRT Data'!A:FA,69,TRUE)</f>
        <v>6</v>
      </c>
      <c r="J12" s="31">
        <f>VLOOKUP(Q5,'SRT Data'!A:FA,82,TRUE)</f>
        <v>5</v>
      </c>
      <c r="K12" s="31">
        <f>VLOOKUP(Q5,'SRT Data'!A:FA,95,TRUE)</f>
        <v>4</v>
      </c>
      <c r="L12" s="31">
        <f>VLOOKUP(Q5,'SRT Data'!A:FA,108,TRUE)</f>
        <v>4</v>
      </c>
      <c r="M12" s="31">
        <f>VLOOKUP(Q5,'SRT Data'!A:FA,121,TRUE)</f>
        <v>3</v>
      </c>
      <c r="N12" s="31">
        <f>VLOOKUP(Q5,'SRT Data'!A:FA,134,TRUE)</f>
        <v>11</v>
      </c>
      <c r="O12" s="31">
        <f>VLOOKUP(Q5,'SRT Data'!A:FA,147,TRUE)</f>
        <v>5</v>
      </c>
      <c r="P12" s="59">
        <f>VLOOKUP(Q5,'SRT Data'!A:FO,160,TRUE)</f>
        <v>64</v>
      </c>
      <c r="Q12" s="61">
        <f t="shared" ref="Q12:Q23" si="0">SUM(D12:O12)/P12</f>
        <v>0.921875</v>
      </c>
    </row>
    <row r="13" spans="1:17" ht="30" customHeight="1" x14ac:dyDescent="0.2">
      <c r="A13" s="88" t="str">
        <f>VLOOKUP(Q5,'Code Sheet'!A1:G36,5,TRUE)</f>
        <v># Free events</v>
      </c>
      <c r="B13" s="89"/>
      <c r="C13" s="89"/>
      <c r="D13" s="31">
        <f>VLOOKUP(Q5,'SRT Data'!A:EZ,5,TRUE)</f>
        <v>20</v>
      </c>
      <c r="E13" s="31">
        <f>VLOOKUP(Q5,'SRT Data'!A:EZ,18,TRUE)</f>
        <v>17</v>
      </c>
      <c r="F13" s="31">
        <f>VLOOKUP(Q5,'SRT Data'!A:EZ,31,TRUE)</f>
        <v>20</v>
      </c>
      <c r="G13" s="31">
        <f>VLOOKUP(Q5,'SRT Data'!A:FA,44,TRUE)</f>
        <v>20</v>
      </c>
      <c r="H13" s="31">
        <f>VLOOKUP(Q5,'SRT Data'!A:FA,57,TRUE)</f>
        <v>19</v>
      </c>
      <c r="I13" s="31">
        <f>VLOOKUP(Q5,'SRT Data'!A:FA,70,TRUE)</f>
        <v>7</v>
      </c>
      <c r="J13" s="31">
        <f>VLOOKUP(Q5,'SRT Data'!A:FA,83,TRUE)</f>
        <v>13</v>
      </c>
      <c r="K13" s="31">
        <f>VLOOKUP(Q5,'SRT Data'!A:FA,96,TRUE)</f>
        <v>18</v>
      </c>
      <c r="L13" s="31">
        <f>VLOOKUP(Q5,'SRT Data'!A:FA,109,TRUE)</f>
        <v>20</v>
      </c>
      <c r="M13" s="31">
        <f>VLOOKUP(Q5,'SRT Data'!A:FA,122,TRUE)</f>
        <v>22</v>
      </c>
      <c r="N13" s="31">
        <f>VLOOKUP(Q5,'SRT Data'!A:FA,135,TRUE)</f>
        <v>16</v>
      </c>
      <c r="O13" s="31">
        <f>VLOOKUP(Q5,'SRT Data'!A:FA,148,TRUE)</f>
        <v>11</v>
      </c>
      <c r="P13" s="59">
        <f>VLOOKUP(Q5,'SRT Data'!A:FO,161,TRUE)</f>
        <v>180</v>
      </c>
      <c r="Q13" s="61">
        <f t="shared" si="0"/>
        <v>1.1277777777777778</v>
      </c>
    </row>
    <row r="14" spans="1:17" ht="30" customHeight="1" x14ac:dyDescent="0.2">
      <c r="A14" s="88" t="str">
        <f>VLOOKUP(Q5,'Code Sheet'!A1:G36,6,TRUE)</f>
        <v xml:space="preserve"># Visitors </v>
      </c>
      <c r="B14" s="89"/>
      <c r="C14" s="89"/>
      <c r="D14" s="31">
        <f>VLOOKUP(Q5,'SRT Data'!A:EZ,6,TRUE)</f>
        <v>1179</v>
      </c>
      <c r="E14" s="31">
        <f>VLOOKUP(Q5,'SRT Data'!A:EZ,19,TRUE)</f>
        <v>2995</v>
      </c>
      <c r="F14" s="31">
        <f>VLOOKUP(Q5,'SRT Data'!A:EZ,32,TRUE)</f>
        <v>3132</v>
      </c>
      <c r="G14" s="31">
        <f>VLOOKUP(Q5,'SRT Data'!A:FA,45,TRUE)</f>
        <v>4358</v>
      </c>
      <c r="H14" s="31">
        <f>VLOOKUP(Q5,'SRT Data'!A:FA,58,TRUE)</f>
        <v>5025</v>
      </c>
      <c r="I14" s="31">
        <f>VLOOKUP(Q5,'SRT Data'!A:FA,71,TRUE)</f>
        <v>5468</v>
      </c>
      <c r="J14" s="31">
        <f>VLOOKUP(Q5,'SRT Data'!A:FA,84,TRUE)</f>
        <v>2055</v>
      </c>
      <c r="K14" s="31">
        <f>VLOOKUP(Q5,'SRT Data'!A:FA,97,TRUE)</f>
        <v>5185</v>
      </c>
      <c r="L14" s="31">
        <f>VLOOKUP(Q5,'SRT Data'!A:FA,110,TRUE)</f>
        <v>1624</v>
      </c>
      <c r="M14" s="31">
        <f>VLOOKUP(Q5,'SRT Data'!A:FA,123,TRUE)</f>
        <v>2003</v>
      </c>
      <c r="N14" s="31">
        <f>VLOOKUP(Q5,'SRT Data'!A:FA,136,TRUE)</f>
        <v>7236</v>
      </c>
      <c r="O14" s="31">
        <f>VLOOKUP(Q5,'SRT Data'!A:FA,149,TRUE)</f>
        <v>8431</v>
      </c>
      <c r="P14" s="59">
        <f>VLOOKUP(Q5,'SRT Data'!A:FO,162,TRUE)</f>
        <v>42000</v>
      </c>
      <c r="Q14" s="61">
        <f t="shared" si="0"/>
        <v>1.1593095238095239</v>
      </c>
    </row>
    <row r="15" spans="1:17" ht="30" customHeight="1" x14ac:dyDescent="0.2">
      <c r="A15" s="88" t="str">
        <f>VLOOKUP(Q5,'Code Sheet'!A1:G36,7,TRUE)</f>
        <v># Un-rentable days due to rehersals</v>
      </c>
      <c r="B15" s="89"/>
      <c r="C15" s="89"/>
      <c r="D15" s="31">
        <f>VLOOKUP(Q5,'SRT Data'!A:EZ,7,TRUE)</f>
        <v>16</v>
      </c>
      <c r="E15" s="31">
        <f>VLOOKUP(Q5,'SRT Data'!A:EZ,20,TRUE)</f>
        <v>1</v>
      </c>
      <c r="F15" s="31">
        <f>VLOOKUP(Q5,'SRT Data'!A:EZ,33,TRUE)</f>
        <v>1</v>
      </c>
      <c r="G15" s="31">
        <f>VLOOKUP(Q5,'SRT Data'!A:FA,46,TRUE)</f>
        <v>12</v>
      </c>
      <c r="H15" s="31">
        <f>VLOOKUP(Q5,'SRT Data'!A:FA,59,TRUE)</f>
        <v>2</v>
      </c>
      <c r="I15" s="31">
        <f>VLOOKUP(Q5,'SRT Data'!A:FA,72,TRUE)</f>
        <v>2</v>
      </c>
      <c r="J15" s="31">
        <f>VLOOKUP(Q5,'SRT Data'!A:FA,85,TRUE)</f>
        <v>0</v>
      </c>
      <c r="K15" s="31">
        <f>VLOOKUP(Q5,'SRT Data'!A:FA,98,TRUE)</f>
        <v>1</v>
      </c>
      <c r="L15" s="31">
        <f>VLOOKUP(Q5,'SRT Data'!A:FA,111,TRUE)</f>
        <v>0</v>
      </c>
      <c r="M15" s="31">
        <f>VLOOKUP(Q5,'SRT Data'!A:FA,124,TRUE)</f>
        <v>3</v>
      </c>
      <c r="N15" s="31">
        <f>VLOOKUP(Q5,'SRT Data'!A:FA,137,TRUE)</f>
        <v>6</v>
      </c>
      <c r="O15" s="31">
        <f>VLOOKUP(Q5,'SRT Data'!A:FA,150,TRUE)</f>
        <v>11</v>
      </c>
      <c r="P15" s="59">
        <f>VLOOKUP(Q5,'SRT Data'!A:FO,163,TRUE)</f>
        <v>67</v>
      </c>
      <c r="Q15" s="61">
        <f t="shared" si="0"/>
        <v>0.82089552238805974</v>
      </c>
    </row>
    <row r="16" spans="1:17" ht="30" customHeight="1" x14ac:dyDescent="0.2">
      <c r="A16" s="88">
        <f>VLOOKUP(Q5,'Code Sheet'!A1:L36,8,TRUE)</f>
        <v>0</v>
      </c>
      <c r="B16" s="89"/>
      <c r="C16" s="89"/>
      <c r="D16" s="31">
        <f>VLOOKUP(Q5,'SRT Data'!A:EZ,8,TRUE)</f>
        <v>0</v>
      </c>
      <c r="E16" s="31">
        <f>VLOOKUP(Q5,'SRT Data'!A:EZ,21,TRUE)</f>
        <v>0</v>
      </c>
      <c r="F16" s="31">
        <f>VLOOKUP(Q5,'SRT Data'!A:EZ,34,TRUE)</f>
        <v>0</v>
      </c>
      <c r="G16" s="31">
        <f>VLOOKUP(Q5,'SRT Data'!A:FA,47,TRUE)</f>
        <v>0</v>
      </c>
      <c r="H16" s="31">
        <f>VLOOKUP(Q5,'SRT Data'!A:FA,60,TRUE)</f>
        <v>0</v>
      </c>
      <c r="I16" s="31">
        <f>VLOOKUP(Q5,'SRT Data'!A:FA,73,TRUE)</f>
        <v>0</v>
      </c>
      <c r="J16" s="31">
        <f>VLOOKUP(Q5,'SRT Data'!A:FA,86,TRUE)</f>
        <v>0</v>
      </c>
      <c r="K16" s="31">
        <f>VLOOKUP(Q5,'SRT Data'!A:FA,99,TRUE)</f>
        <v>0</v>
      </c>
      <c r="L16" s="31">
        <f>VLOOKUP(Q5,'SRT Data'!A:FA,112,TRUE)</f>
        <v>0</v>
      </c>
      <c r="M16" s="31">
        <f>VLOOKUP(Q5,'SRT Data'!A:FA,125,TRUE)</f>
        <v>0</v>
      </c>
      <c r="N16" s="31">
        <f>VLOOKUP(Q5,'SRT Data'!A:FA,138,TRUE)</f>
        <v>0</v>
      </c>
      <c r="O16" s="31">
        <f>VLOOKUP(Q5,'SRT Data'!A:FA,151,TRUE)</f>
        <v>0</v>
      </c>
      <c r="P16" s="59">
        <f>VLOOKUP(Q5,'SRT Data'!A:FO,164,TRUE)</f>
        <v>0</v>
      </c>
      <c r="Q16" s="61" t="e">
        <f t="shared" si="0"/>
        <v>#DIV/0!</v>
      </c>
    </row>
    <row r="17" spans="1:17" ht="30" customHeight="1" x14ac:dyDescent="0.2">
      <c r="A17" s="88">
        <f>VLOOKUP(Q5,'Code Sheet'!A1:L36,9,TRUE)</f>
        <v>0</v>
      </c>
      <c r="B17" s="89"/>
      <c r="C17" s="89"/>
      <c r="D17" s="31">
        <f>VLOOKUP(Q5,'SRT Data'!A:EZ,9,TRUE)</f>
        <v>0</v>
      </c>
      <c r="E17" s="31">
        <f>VLOOKUP(Q5,'SRT Data'!A:EZ,22,TRUE)</f>
        <v>0</v>
      </c>
      <c r="F17" s="31">
        <f>VLOOKUP(Q5,'SRT Data'!A:EZ,35,TRUE)</f>
        <v>0</v>
      </c>
      <c r="G17" s="31">
        <f>VLOOKUP(Q5,'SRT Data'!A:FA,48,TRUE)</f>
        <v>0</v>
      </c>
      <c r="H17" s="31">
        <f>VLOOKUP(Q5,'SRT Data'!A:FA,61,TRUE)</f>
        <v>0</v>
      </c>
      <c r="I17" s="31">
        <f>VLOOKUP(Q5,'SRT Data'!A:FA,74,TRUE)</f>
        <v>0</v>
      </c>
      <c r="J17" s="31">
        <f>VLOOKUP(Q5,'SRT Data'!A:FA,87,TRUE)</f>
        <v>0</v>
      </c>
      <c r="K17" s="31">
        <f>VLOOKUP(Q5,'SRT Data'!A:FA,100,TRUE)</f>
        <v>0</v>
      </c>
      <c r="L17" s="31">
        <f>VLOOKUP(Q5,'SRT Data'!A:FA,113,TRUE)</f>
        <v>0</v>
      </c>
      <c r="M17" s="31">
        <f>VLOOKUP(Q5,'SRT Data'!A:FA,126,TRUE)</f>
        <v>0</v>
      </c>
      <c r="N17" s="31">
        <f>VLOOKUP(Q5,'SRT Data'!A:FA,139,TRUE)</f>
        <v>0</v>
      </c>
      <c r="O17" s="31">
        <f>VLOOKUP(Q5,'SRT Data'!A:FA,152,TRUE)</f>
        <v>0</v>
      </c>
      <c r="P17" s="59">
        <f>VLOOKUP(Q5,'SRT Data'!A:FO,165,TRUE)</f>
        <v>0</v>
      </c>
      <c r="Q17" s="61" t="e">
        <f t="shared" si="0"/>
        <v>#DIV/0!</v>
      </c>
    </row>
    <row r="18" spans="1:17" ht="30" customHeight="1" x14ac:dyDescent="0.2">
      <c r="A18" s="88">
        <f>VLOOKUP(Q5,'Code Sheet'!A1:L36,10,TRUE)</f>
        <v>0</v>
      </c>
      <c r="B18" s="89"/>
      <c r="C18" s="89"/>
      <c r="D18" s="31">
        <f>VLOOKUP(Q5,'SRT Data'!A:EZ,10,TRUE)</f>
        <v>0</v>
      </c>
      <c r="E18" s="31">
        <f>VLOOKUP(Q5,'SRT Data'!A:EZ,23,TRUE)</f>
        <v>0</v>
      </c>
      <c r="F18" s="31">
        <f>VLOOKUP(Q5,'SRT Data'!A:EZ,36,TRUE)</f>
        <v>0</v>
      </c>
      <c r="G18" s="31">
        <f>VLOOKUP(Q5,'SRT Data'!A:FA,49,TRUE)</f>
        <v>0</v>
      </c>
      <c r="H18" s="31">
        <f>VLOOKUP(Q5,'SRT Data'!A:FA,62,TRUE)</f>
        <v>0</v>
      </c>
      <c r="I18" s="31">
        <f>VLOOKUP(Q5,'SRT Data'!A:FA,75,TRUE)</f>
        <v>0</v>
      </c>
      <c r="J18" s="31">
        <f>VLOOKUP(Q5,'SRT Data'!A:FA,88,TRUE)</f>
        <v>0</v>
      </c>
      <c r="K18" s="31">
        <f>VLOOKUP(Q5,'SRT Data'!A:FA,101,TRUE)</f>
        <v>0</v>
      </c>
      <c r="L18" s="31">
        <f>VLOOKUP(Q5,'SRT Data'!A:FA,114,TRUE)</f>
        <v>0</v>
      </c>
      <c r="M18" s="31">
        <f>VLOOKUP(Q5,'SRT Data'!A:FA,127,TRUE)</f>
        <v>0</v>
      </c>
      <c r="N18" s="31">
        <f>VLOOKUP(Q5,'SRT Data'!A:FA,140,TRUE)</f>
        <v>0</v>
      </c>
      <c r="O18" s="31">
        <f>VLOOKUP(Q5,'SRT Data'!A:FA,153,TRUE)</f>
        <v>0</v>
      </c>
      <c r="P18" s="59">
        <f>VLOOKUP(Q5,'SRT Data'!A:FO,166,TRUE)</f>
        <v>0</v>
      </c>
      <c r="Q18" s="61" t="e">
        <f t="shared" si="0"/>
        <v>#DIV/0!</v>
      </c>
    </row>
    <row r="19" spans="1:17" ht="30" customHeight="1" x14ac:dyDescent="0.2">
      <c r="A19" s="88">
        <f>VLOOKUP(Q5,'Code Sheet'!A1:L36,11,TRUE)</f>
        <v>0</v>
      </c>
      <c r="B19" s="89"/>
      <c r="C19" s="89"/>
      <c r="D19" s="31">
        <f>VLOOKUP(Q5,'SRT Data'!A:EZ,11,TRUE)</f>
        <v>0</v>
      </c>
      <c r="E19" s="31">
        <f>VLOOKUP(Q5,'SRT Data'!A:EZ,24,TRUE)</f>
        <v>0</v>
      </c>
      <c r="F19" s="31">
        <f>VLOOKUP(Q5,'SRT Data'!A:EZ,37,TRUE)</f>
        <v>0</v>
      </c>
      <c r="G19" s="31">
        <f>VLOOKUP(Q5,'SRT Data'!A:FA,50,TRUE)</f>
        <v>0</v>
      </c>
      <c r="H19" s="31">
        <f>VLOOKUP(Q5,'SRT Data'!A:FA,63,TRUE)</f>
        <v>0</v>
      </c>
      <c r="I19" s="31">
        <f>VLOOKUP(Q5,'SRT Data'!A:FA,76,TRUE)</f>
        <v>0</v>
      </c>
      <c r="J19" s="31">
        <f>VLOOKUP(Q5,'SRT Data'!A:FA,89,TRUE)</f>
        <v>0</v>
      </c>
      <c r="K19" s="31">
        <f>VLOOKUP(Q5,'SRT Data'!A:FA,102,TRUE)</f>
        <v>0</v>
      </c>
      <c r="L19" s="31">
        <f>VLOOKUP(Q5,'SRT Data'!A:FA,115,TRUE)</f>
        <v>0</v>
      </c>
      <c r="M19" s="31">
        <f>VLOOKUP(Q5,'SRT Data'!A:FA,128,TRUE)</f>
        <v>0</v>
      </c>
      <c r="N19" s="31">
        <f>VLOOKUP(Q5,'SRT Data'!A:FA,141,TRUE)</f>
        <v>0</v>
      </c>
      <c r="O19" s="31">
        <f>VLOOKUP(Q5,'SRT Data'!A:FA,154,TRUE)</f>
        <v>0</v>
      </c>
      <c r="P19" s="59">
        <f>VLOOKUP(Q5,'SRT Data'!A:FO,167,TRUE)</f>
        <v>0</v>
      </c>
      <c r="Q19" s="61" t="e">
        <f t="shared" si="0"/>
        <v>#DIV/0!</v>
      </c>
    </row>
    <row r="20" spans="1:17" ht="30" customHeight="1" x14ac:dyDescent="0.2">
      <c r="A20" s="88">
        <f>VLOOKUP(Q5,'Code Sheet'!A1:L36,12,TRUE)</f>
        <v>0</v>
      </c>
      <c r="B20" s="89"/>
      <c r="C20" s="89"/>
      <c r="D20" s="31">
        <f>VLOOKUP(Q5,'SRT Data'!A:EZ,12,TRUE)</f>
        <v>0</v>
      </c>
      <c r="E20" s="31">
        <f>VLOOKUP(Q5,'SRT Data'!A:EZ,25,TRUE)</f>
        <v>0</v>
      </c>
      <c r="F20" s="31">
        <f>VLOOKUP(Q5,'SRT Data'!A:EZ,38,TRUE)</f>
        <v>0</v>
      </c>
      <c r="G20" s="31">
        <f>VLOOKUP(Q5,'SRT Data'!A:FA,51,TRUE)</f>
        <v>0</v>
      </c>
      <c r="H20" s="31">
        <f>VLOOKUP(Q5,'SRT Data'!A:FA,64,TRUE)</f>
        <v>0</v>
      </c>
      <c r="I20" s="31">
        <f>VLOOKUP(Q5,'SRT Data'!A:FA,77,TRUE)</f>
        <v>0</v>
      </c>
      <c r="J20" s="31">
        <f>VLOOKUP(Q5,'SRT Data'!A:FA,90,TRUE)</f>
        <v>0</v>
      </c>
      <c r="K20" s="31">
        <f>VLOOKUP(Q5,'SRT Data'!A:FA,103,TRUE)</f>
        <v>0</v>
      </c>
      <c r="L20" s="31">
        <f>VLOOKUP(Q5,'SRT Data'!A:FA,116,TRUE)</f>
        <v>0</v>
      </c>
      <c r="M20" s="31">
        <f>VLOOKUP(Q5,'SRT Data'!A:FA,129,TRUE)</f>
        <v>0</v>
      </c>
      <c r="N20" s="31">
        <f>VLOOKUP(Q5,'SRT Data'!A:FA,142,TRUE)</f>
        <v>0</v>
      </c>
      <c r="O20" s="31">
        <f>VLOOKUP(Q5,'SRT Data'!A:FA,155,TRUE)</f>
        <v>0</v>
      </c>
      <c r="P20" s="59">
        <f>VLOOKUP(Q5,'SRT Data'!A:FO,168,TRUE)</f>
        <v>0</v>
      </c>
      <c r="Q20" s="61" t="e">
        <f t="shared" si="0"/>
        <v>#DIV/0!</v>
      </c>
    </row>
    <row r="21" spans="1:17" ht="30" customHeight="1" x14ac:dyDescent="0.2">
      <c r="A21" s="88">
        <f>VLOOKUP(Q5,'Code Sheet'!A1:M37,13,TRUE)</f>
        <v>0</v>
      </c>
      <c r="B21" s="89"/>
      <c r="C21" s="89"/>
      <c r="D21" s="31">
        <f>VLOOKUP(Q5,'SRT Data'!A:EZ,13,TRUE)</f>
        <v>0</v>
      </c>
      <c r="E21" s="31">
        <f>VLOOKUP(Q5,'SRT Data'!A:EZ,26,TRUE)</f>
        <v>0</v>
      </c>
      <c r="F21" s="31">
        <f>VLOOKUP(Q5,'SRT Data'!A:EZ,39,TRUE)</f>
        <v>0</v>
      </c>
      <c r="G21" s="31">
        <f>VLOOKUP(Q5,'SRT Data'!A:FA,52,TRUE)</f>
        <v>0</v>
      </c>
      <c r="H21" s="31">
        <f>VLOOKUP(Q5,'SRT Data'!A:FA,65,TRUE)</f>
        <v>0</v>
      </c>
      <c r="I21" s="31">
        <f>VLOOKUP(Q5,'SRT Data'!A:FA,78,TRUE)</f>
        <v>0</v>
      </c>
      <c r="J21" s="31">
        <f>VLOOKUP(Q5,'SRT Data'!A:FA,91,TRUE)</f>
        <v>0</v>
      </c>
      <c r="K21" s="31">
        <f>VLOOKUP(Q5,'SRT Data'!A:FA,104,TRUE)</f>
        <v>0</v>
      </c>
      <c r="L21" s="31">
        <f>VLOOKUP(Q5,'SRT Data'!A:FA,117,TRUE)</f>
        <v>0</v>
      </c>
      <c r="M21" s="31">
        <f>VLOOKUP(Q5,'SRT Data'!A:FA,130,TRUE)</f>
        <v>0</v>
      </c>
      <c r="N21" s="31">
        <f>VLOOKUP(Q5,'SRT Data'!A:FA,143,TRUE)</f>
        <v>0</v>
      </c>
      <c r="O21" s="31">
        <f>VLOOKUP(Q5,'SRT Data'!A:FB,156,TRUE)</f>
        <v>0</v>
      </c>
      <c r="P21" s="59">
        <f>VLOOKUP(Q5,'SRT Data'!A:FO,169,TRUE)</f>
        <v>0</v>
      </c>
      <c r="Q21" s="61" t="e">
        <f t="shared" si="0"/>
        <v>#DIV/0!</v>
      </c>
    </row>
    <row r="22" spans="1:17" ht="30" customHeight="1" x14ac:dyDescent="0.2">
      <c r="A22" s="88">
        <f>VLOOKUP(Q5,'Code Sheet'!A1:N38,14,TRUE)</f>
        <v>0</v>
      </c>
      <c r="B22" s="89"/>
      <c r="C22" s="89"/>
      <c r="D22" s="31">
        <f>VLOOKUP(Q5,'SRT Data'!A:EZ,14,TRUE)</f>
        <v>0</v>
      </c>
      <c r="E22" s="31">
        <f>VLOOKUP(Q5,'SRT Data'!A:EZ,27,TRUE)</f>
        <v>0</v>
      </c>
      <c r="F22" s="31">
        <f>VLOOKUP(Q5,'SRT Data'!A:EZ,40,TRUE)</f>
        <v>0</v>
      </c>
      <c r="G22" s="31">
        <f>VLOOKUP(Q5,'SRT Data'!A:FA,53,TRUE)</f>
        <v>0</v>
      </c>
      <c r="H22" s="31">
        <f>VLOOKUP(Q5,'SRT Data'!A:FA,66,TRUE)</f>
        <v>0</v>
      </c>
      <c r="I22" s="31">
        <f>VLOOKUP(Q5,'SRT Data'!A:FA,79,TRUE)</f>
        <v>0</v>
      </c>
      <c r="J22" s="31">
        <f>VLOOKUP(Q5,'SRT Data'!A:FA,92,TRUE)</f>
        <v>0</v>
      </c>
      <c r="K22" s="31">
        <f>VLOOKUP(Q5,'SRT Data'!A:FA,105,TRUE)</f>
        <v>0</v>
      </c>
      <c r="L22" s="31">
        <f>VLOOKUP(Q5,'SRT Data'!A:FA,118,TRUE)</f>
        <v>0</v>
      </c>
      <c r="M22" s="31">
        <f>VLOOKUP(Q5,'SRT Data'!A:FA,131,TRUE)</f>
        <v>0</v>
      </c>
      <c r="N22" s="31">
        <f>VLOOKUP(Q5,'SRT Data'!A:FA,144,TRUE)</f>
        <v>0</v>
      </c>
      <c r="O22" s="31">
        <f>VLOOKUP(Q5,'SRT Data'!A:FB,157,TRUE)</f>
        <v>0</v>
      </c>
      <c r="P22" s="59">
        <f>VLOOKUP(Q5,'SRT Data'!A:FO,170,TRUE)</f>
        <v>0</v>
      </c>
      <c r="Q22" s="61" t="e">
        <f t="shared" si="0"/>
        <v>#DIV/0!</v>
      </c>
    </row>
    <row r="23" spans="1:17" ht="30" customHeight="1" thickBot="1" x14ac:dyDescent="0.25">
      <c r="A23" s="90">
        <f>VLOOKUP(Q5,'Code Sheet'!A1:O39,15,TRUE)</f>
        <v>0</v>
      </c>
      <c r="B23" s="91"/>
      <c r="C23" s="91"/>
      <c r="D23" s="32">
        <f>VLOOKUP(Q5,'SRT Data'!A:EZ,15,TRUE)</f>
        <v>0</v>
      </c>
      <c r="E23" s="32">
        <f>VLOOKUP(Q5,'SRT Data'!A:EZ,28,TRUE)</f>
        <v>0</v>
      </c>
      <c r="F23" s="32">
        <f>VLOOKUP(Q5,'SRT Data'!A:EZ,41,TRUE)</f>
        <v>0</v>
      </c>
      <c r="G23" s="32">
        <f>VLOOKUP(Q5,'SRT Data'!A:FA,54,TRUE)</f>
        <v>0</v>
      </c>
      <c r="H23" s="32">
        <f>VLOOKUP(Q5,'SRT Data'!A:FA,67,TRUE)</f>
        <v>0</v>
      </c>
      <c r="I23" s="32">
        <f>VLOOKUP(Q5,'SRT Data'!A:FA,80,TRUE)</f>
        <v>0</v>
      </c>
      <c r="J23" s="32">
        <f>VLOOKUP(Q5,'SRT Data'!A:FA,93,TRUE)</f>
        <v>0</v>
      </c>
      <c r="K23" s="32">
        <f>VLOOKUP(Q5,'SRT Data'!A:FA,106,TRUE)</f>
        <v>0</v>
      </c>
      <c r="L23" s="32">
        <f>VLOOKUP(Q5,'SRT Data'!A:FA,119,TRUE)</f>
        <v>0</v>
      </c>
      <c r="M23" s="32">
        <f>VLOOKUP(Q5,'SRT Data'!A:FA,132,TRUE)</f>
        <v>0</v>
      </c>
      <c r="N23" s="32">
        <f>VLOOKUP(Q5,'SRT Data'!A:FA,145,TRUE)</f>
        <v>0</v>
      </c>
      <c r="O23" s="32">
        <f>VLOOKUP(Q5,'SRT Data'!A:FB,158,TRUE)</f>
        <v>0</v>
      </c>
      <c r="P23" s="60">
        <f>VLOOKUP(Q5,'SRT Data'!A:FO,171,TRUE)</f>
        <v>0</v>
      </c>
      <c r="Q23" s="62" t="e">
        <f t="shared" si="0"/>
        <v>#DIV/0!</v>
      </c>
    </row>
    <row r="24" spans="1:17" ht="13.5" thickTop="1" x14ac:dyDescent="0.2">
      <c r="A24" s="11"/>
      <c r="B24" s="11"/>
      <c r="C24" s="11"/>
      <c r="D24" s="11"/>
      <c r="E24" s="11"/>
      <c r="F24" s="11"/>
      <c r="G24" s="11"/>
      <c r="H24" s="11"/>
      <c r="I24" s="11"/>
    </row>
  </sheetData>
  <sheetProtection selectLockedCells="1"/>
  <mergeCells count="14">
    <mergeCell ref="A22:C22"/>
    <mergeCell ref="A23:C23"/>
    <mergeCell ref="A14:C14"/>
    <mergeCell ref="A15:C15"/>
    <mergeCell ref="B6:D6"/>
    <mergeCell ref="A11:C11"/>
    <mergeCell ref="A12:C12"/>
    <mergeCell ref="A13:C13"/>
    <mergeCell ref="A20:C20"/>
    <mergeCell ref="A16:C16"/>
    <mergeCell ref="A17:C17"/>
    <mergeCell ref="A18:C18"/>
    <mergeCell ref="A19:C19"/>
    <mergeCell ref="A21:C21"/>
  </mergeCells>
  <phoneticPr fontId="12" type="noConversion"/>
  <conditionalFormatting sqref="A12:A23 B16:C23 A21:C21">
    <cfRule type="cellIs" dxfId="2" priority="1" stopIfTrue="1" operator="equal">
      <formula>0</formula>
    </cfRule>
  </conditionalFormatting>
  <conditionalFormatting sqref="D11:O23">
    <cfRule type="cellIs" dxfId="1" priority="2" stopIfTrue="1" operator="equal">
      <formula>0</formula>
    </cfRule>
    <cfRule type="cellIs" dxfId="0" priority="3" stopIfTrue="1" operator="equal">
      <formula>0</formula>
    </cfRule>
  </conditionalFormatting>
  <pageMargins left="0.5" right="0.5" top="1" bottom="1" header="0.5" footer="0.5"/>
  <pageSetup scale="8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workbookViewId="0">
      <selection activeCell="H53" sqref="H53"/>
    </sheetView>
  </sheetViews>
  <sheetFormatPr defaultRowHeight="12.75" x14ac:dyDescent="0.2"/>
  <cols>
    <col min="1" max="1" width="17.7109375" customWidth="1"/>
    <col min="15" max="15" width="14.7109375" customWidth="1"/>
  </cols>
  <sheetData>
    <row r="2" spans="1:15" hidden="1" x14ac:dyDescent="0.2">
      <c r="A2" s="21" t="s">
        <v>241</v>
      </c>
    </row>
    <row r="3" spans="1:15" hidden="1" x14ac:dyDescent="0.2">
      <c r="A3" s="21" t="s">
        <v>354</v>
      </c>
    </row>
    <row r="4" spans="1:15" hidden="1" x14ac:dyDescent="0.2">
      <c r="A4" s="21"/>
    </row>
    <row r="5" spans="1:15" hidden="1" x14ac:dyDescent="0.2">
      <c r="A5" s="50">
        <v>1019353</v>
      </c>
    </row>
    <row r="6" spans="1:15" hidden="1" x14ac:dyDescent="0.2">
      <c r="B6" s="23" t="s">
        <v>367</v>
      </c>
      <c r="C6" s="23" t="s">
        <v>357</v>
      </c>
      <c r="D6" s="23" t="s">
        <v>358</v>
      </c>
      <c r="E6" s="23" t="s">
        <v>359</v>
      </c>
      <c r="F6" s="23" t="s">
        <v>360</v>
      </c>
      <c r="G6" s="23" t="s">
        <v>361</v>
      </c>
      <c r="H6" s="23" t="s">
        <v>362</v>
      </c>
      <c r="I6" s="23" t="s">
        <v>363</v>
      </c>
      <c r="J6" s="23" t="s">
        <v>365</v>
      </c>
      <c r="K6" s="23" t="s">
        <v>364</v>
      </c>
      <c r="L6" s="23" t="s">
        <v>366</v>
      </c>
      <c r="M6" s="23" t="s">
        <v>368</v>
      </c>
      <c r="N6" s="23" t="s">
        <v>369</v>
      </c>
      <c r="O6" s="23" t="s">
        <v>370</v>
      </c>
    </row>
    <row r="7" spans="1:15" hidden="1" x14ac:dyDescent="0.2">
      <c r="A7" s="23" t="s">
        <v>355</v>
      </c>
      <c r="N7" s="49">
        <f>SUM(B7:M7)</f>
        <v>0</v>
      </c>
      <c r="O7" s="49" t="e">
        <f>AVERAGE(B7:M7)*12</f>
        <v>#DIV/0!</v>
      </c>
    </row>
    <row r="8" spans="1:15" hidden="1" x14ac:dyDescent="0.2">
      <c r="A8" s="23" t="s">
        <v>356</v>
      </c>
      <c r="N8" s="49">
        <f>SUM(B8:M8)</f>
        <v>0</v>
      </c>
      <c r="O8" s="49" t="e">
        <f>AVERAGE(B8:M8)*12</f>
        <v>#DIV/0!</v>
      </c>
    </row>
    <row r="9" spans="1:15" hidden="1" x14ac:dyDescent="0.2"/>
    <row r="10" spans="1:15" hidden="1" x14ac:dyDescent="0.2">
      <c r="A10" s="23" t="s">
        <v>371</v>
      </c>
      <c r="B10" t="e">
        <f>SUM(1019353/O7)</f>
        <v>#DIV/0!</v>
      </c>
    </row>
    <row r="11" spans="1:15" hidden="1" x14ac:dyDescent="0.2">
      <c r="A11" s="23" t="s">
        <v>356</v>
      </c>
      <c r="B11" t="e">
        <f>SUM(1019353/O8)</f>
        <v>#DIV/0!</v>
      </c>
    </row>
    <row r="12" spans="1:15" hidden="1" x14ac:dyDescent="0.2"/>
    <row r="13" spans="1:15" hidden="1" x14ac:dyDescent="0.2"/>
    <row r="14" spans="1:15" x14ac:dyDescent="0.2">
      <c r="A14" s="21" t="s">
        <v>380</v>
      </c>
    </row>
    <row r="16" spans="1:15" x14ac:dyDescent="0.2">
      <c r="A16" t="s">
        <v>381</v>
      </c>
    </row>
    <row r="17" spans="1:15" x14ac:dyDescent="0.2">
      <c r="A17">
        <v>60403</v>
      </c>
    </row>
    <row r="18" spans="1:15" x14ac:dyDescent="0.2">
      <c r="A18" s="50">
        <v>1192368</v>
      </c>
    </row>
    <row r="19" spans="1:15" x14ac:dyDescent="0.2">
      <c r="A19" s="23" t="s">
        <v>382</v>
      </c>
      <c r="B19">
        <v>15789</v>
      </c>
      <c r="C19">
        <v>13613</v>
      </c>
      <c r="D19">
        <v>12284</v>
      </c>
      <c r="E19">
        <v>15486</v>
      </c>
      <c r="F19">
        <v>10244</v>
      </c>
      <c r="G19">
        <v>9773</v>
      </c>
      <c r="H19">
        <v>10847</v>
      </c>
      <c r="I19">
        <v>9942</v>
      </c>
      <c r="J19">
        <v>12009</v>
      </c>
      <c r="K19">
        <v>13226</v>
      </c>
      <c r="L19">
        <v>11981</v>
      </c>
      <c r="M19">
        <v>15014</v>
      </c>
      <c r="N19">
        <f>AVERAGE(B19:M19)*12</f>
        <v>150208</v>
      </c>
    </row>
    <row r="20" spans="1:15" x14ac:dyDescent="0.2">
      <c r="A20" s="23" t="s">
        <v>383</v>
      </c>
      <c r="B20">
        <v>19293</v>
      </c>
      <c r="C20">
        <v>16675</v>
      </c>
      <c r="D20">
        <v>15458</v>
      </c>
      <c r="E20">
        <v>18919</v>
      </c>
      <c r="F20">
        <v>12794</v>
      </c>
      <c r="G20">
        <v>12656</v>
      </c>
      <c r="H20">
        <v>14398</v>
      </c>
      <c r="I20">
        <v>13139</v>
      </c>
      <c r="J20">
        <v>15456</v>
      </c>
      <c r="K20">
        <v>16265</v>
      </c>
      <c r="L20">
        <v>15180</v>
      </c>
      <c r="M20">
        <v>18640</v>
      </c>
      <c r="N20">
        <f>AVERAGE(B20:M20)*12</f>
        <v>188873</v>
      </c>
    </row>
    <row r="22" spans="1:15" x14ac:dyDescent="0.2">
      <c r="A22" t="s">
        <v>384</v>
      </c>
      <c r="F22">
        <f>SUM(N19/A17)</f>
        <v>2.4867639024551762</v>
      </c>
    </row>
    <row r="23" spans="1:15" x14ac:dyDescent="0.2">
      <c r="A23" t="s">
        <v>385</v>
      </c>
      <c r="F23">
        <f>SUM(N20/A17)</f>
        <v>3.1268811151763987</v>
      </c>
    </row>
    <row r="24" spans="1:15" x14ac:dyDescent="0.2">
      <c r="A24" t="s">
        <v>386</v>
      </c>
      <c r="F24">
        <f>SUM(A18/N20)</f>
        <v>6.3130675109729815</v>
      </c>
    </row>
    <row r="29" spans="1:15" x14ac:dyDescent="0.2">
      <c r="A29" t="s">
        <v>402</v>
      </c>
      <c r="B29" t="s">
        <v>404</v>
      </c>
      <c r="C29" t="s">
        <v>36</v>
      </c>
      <c r="D29" t="s">
        <v>37</v>
      </c>
      <c r="E29" t="s">
        <v>38</v>
      </c>
      <c r="F29" t="s">
        <v>39</v>
      </c>
      <c r="G29" t="s">
        <v>40</v>
      </c>
      <c r="H29" t="s">
        <v>93</v>
      </c>
      <c r="I29" t="s">
        <v>94</v>
      </c>
      <c r="J29" t="s">
        <v>95</v>
      </c>
      <c r="K29" t="s">
        <v>17</v>
      </c>
      <c r="L29" t="s">
        <v>18</v>
      </c>
      <c r="M29" t="s">
        <v>19</v>
      </c>
      <c r="N29" t="s">
        <v>406</v>
      </c>
    </row>
    <row r="30" spans="1:15" x14ac:dyDescent="0.2">
      <c r="A30" t="s">
        <v>403</v>
      </c>
      <c r="B30">
        <v>23</v>
      </c>
      <c r="C30">
        <v>14</v>
      </c>
      <c r="D30">
        <v>16</v>
      </c>
      <c r="E30">
        <v>21</v>
      </c>
      <c r="F30">
        <v>14</v>
      </c>
      <c r="G30">
        <v>36</v>
      </c>
      <c r="H30">
        <v>27</v>
      </c>
      <c r="I30">
        <v>14</v>
      </c>
      <c r="J30">
        <v>17</v>
      </c>
      <c r="K30">
        <v>31</v>
      </c>
      <c r="L30">
        <v>29</v>
      </c>
      <c r="M30">
        <v>24</v>
      </c>
      <c r="N30">
        <f t="shared" ref="N30" si="0">SUM(B30:M30)</f>
        <v>266</v>
      </c>
    </row>
    <row r="31" spans="1:15" x14ac:dyDescent="0.2">
      <c r="O31" s="51">
        <f>SUM(N32/N30)</f>
        <v>0.24060150375939848</v>
      </c>
    </row>
    <row r="32" spans="1:15" x14ac:dyDescent="0.2">
      <c r="A32" t="s">
        <v>405</v>
      </c>
      <c r="B32" s="83">
        <v>4</v>
      </c>
      <c r="C32">
        <v>1</v>
      </c>
      <c r="D32">
        <v>3</v>
      </c>
      <c r="E32">
        <v>8</v>
      </c>
      <c r="F32">
        <v>10</v>
      </c>
      <c r="G32">
        <v>16</v>
      </c>
      <c r="H32">
        <v>10</v>
      </c>
      <c r="I32">
        <v>0</v>
      </c>
      <c r="J32">
        <v>2</v>
      </c>
      <c r="K32">
        <v>3</v>
      </c>
      <c r="L32">
        <v>2</v>
      </c>
      <c r="M32">
        <v>5</v>
      </c>
      <c r="N32">
        <f>SUM(B32:M32)</f>
        <v>64</v>
      </c>
    </row>
    <row r="35" spans="1:16" x14ac:dyDescent="0.2">
      <c r="A35" s="23" t="s">
        <v>434</v>
      </c>
      <c r="B35" t="s">
        <v>404</v>
      </c>
      <c r="C35" t="s">
        <v>36</v>
      </c>
      <c r="D35" t="s">
        <v>37</v>
      </c>
      <c r="E35" t="s">
        <v>38</v>
      </c>
      <c r="F35" t="s">
        <v>39</v>
      </c>
      <c r="G35" t="s">
        <v>40</v>
      </c>
      <c r="H35" t="s">
        <v>93</v>
      </c>
      <c r="I35" t="s">
        <v>94</v>
      </c>
      <c r="J35" t="s">
        <v>95</v>
      </c>
      <c r="K35" t="s">
        <v>17</v>
      </c>
      <c r="L35" t="s">
        <v>18</v>
      </c>
      <c r="M35" t="s">
        <v>19</v>
      </c>
      <c r="N35" t="s">
        <v>406</v>
      </c>
    </row>
    <row r="36" spans="1:16" x14ac:dyDescent="0.2">
      <c r="A36" s="23" t="s">
        <v>501</v>
      </c>
      <c r="H36">
        <v>0</v>
      </c>
      <c r="I36">
        <v>1</v>
      </c>
      <c r="J36">
        <v>0</v>
      </c>
      <c r="K36">
        <v>3</v>
      </c>
      <c r="N36">
        <f>SUM(B36:M36)</f>
        <v>4</v>
      </c>
    </row>
    <row r="37" spans="1:16" x14ac:dyDescent="0.2">
      <c r="O37" s="51">
        <f>SUM(N38/N36)</f>
        <v>0.25</v>
      </c>
    </row>
    <row r="38" spans="1:16" x14ac:dyDescent="0.2">
      <c r="A38" s="23" t="s">
        <v>435</v>
      </c>
      <c r="H38">
        <v>0</v>
      </c>
      <c r="I38">
        <v>0</v>
      </c>
      <c r="J38">
        <v>0</v>
      </c>
      <c r="K38">
        <v>1</v>
      </c>
      <c r="N38">
        <f>SUM(B38:M38)</f>
        <v>1</v>
      </c>
    </row>
    <row r="40" spans="1:16" x14ac:dyDescent="0.2">
      <c r="A40" t="s">
        <v>412</v>
      </c>
      <c r="B40" t="s">
        <v>413</v>
      </c>
    </row>
    <row r="41" spans="1:16" x14ac:dyDescent="0.2">
      <c r="B41" t="s">
        <v>414</v>
      </c>
    </row>
    <row r="43" spans="1:16" x14ac:dyDescent="0.2">
      <c r="B43" t="s">
        <v>404</v>
      </c>
      <c r="C43" t="s">
        <v>36</v>
      </c>
      <c r="D43" t="s">
        <v>37</v>
      </c>
      <c r="E43" t="s">
        <v>38</v>
      </c>
      <c r="F43" t="s">
        <v>39</v>
      </c>
      <c r="G43" t="s">
        <v>40</v>
      </c>
      <c r="H43" t="s">
        <v>93</v>
      </c>
      <c r="I43" t="s">
        <v>94</v>
      </c>
      <c r="J43" t="s">
        <v>95</v>
      </c>
      <c r="K43" t="s">
        <v>17</v>
      </c>
      <c r="L43" t="s">
        <v>18</v>
      </c>
      <c r="M43" t="s">
        <v>19</v>
      </c>
      <c r="N43" t="s">
        <v>406</v>
      </c>
    </row>
    <row r="44" spans="1:16" x14ac:dyDescent="0.2">
      <c r="A44" s="71" t="s">
        <v>490</v>
      </c>
    </row>
    <row r="45" spans="1:16" x14ac:dyDescent="0.2">
      <c r="A45" t="s">
        <v>491</v>
      </c>
      <c r="B45" s="22">
        <v>2</v>
      </c>
      <c r="C45" s="22">
        <v>2</v>
      </c>
      <c r="D45" s="22">
        <v>2</v>
      </c>
      <c r="E45" s="22">
        <v>1</v>
      </c>
      <c r="F45" s="22">
        <v>3</v>
      </c>
      <c r="G45" s="22">
        <v>2</v>
      </c>
      <c r="H45" s="22">
        <v>2</v>
      </c>
      <c r="I45" s="22">
        <v>3</v>
      </c>
      <c r="J45" s="22">
        <v>6</v>
      </c>
      <c r="K45" s="22">
        <v>1</v>
      </c>
      <c r="L45" s="22">
        <v>2</v>
      </c>
      <c r="M45" s="22">
        <v>5</v>
      </c>
      <c r="N45" s="22">
        <f>SUM(H45:M45,B45:G45)</f>
        <v>31</v>
      </c>
      <c r="O45" s="72">
        <f>SUM(N46*12)/425</f>
        <v>7.2941176470588232E-2</v>
      </c>
      <c r="P45" t="s">
        <v>493</v>
      </c>
    </row>
    <row r="46" spans="1:16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t="s">
        <v>494</v>
      </c>
      <c r="N46" s="22">
        <f>AVERAGE(B45:M45)</f>
        <v>2.5833333333333335</v>
      </c>
      <c r="O46" s="72"/>
    </row>
    <row r="47" spans="1:16" x14ac:dyDescent="0.2">
      <c r="A47" t="s">
        <v>492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N47" s="22"/>
      <c r="O47" s="72"/>
    </row>
    <row r="48" spans="1:16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N48" s="22"/>
      <c r="O48" s="72"/>
    </row>
    <row r="49" spans="1:16" x14ac:dyDescent="0.2">
      <c r="A49" t="s">
        <v>496</v>
      </c>
      <c r="B49" s="22">
        <v>6</v>
      </c>
      <c r="C49" s="22">
        <v>2</v>
      </c>
      <c r="D49" s="22">
        <v>2</v>
      </c>
      <c r="E49" s="22">
        <v>2</v>
      </c>
      <c r="F49" s="22">
        <v>4</v>
      </c>
      <c r="G49" s="22">
        <v>3</v>
      </c>
      <c r="H49" s="22">
        <v>3</v>
      </c>
      <c r="I49" s="22">
        <v>6</v>
      </c>
      <c r="J49" s="22">
        <v>7</v>
      </c>
      <c r="K49" s="22">
        <v>2</v>
      </c>
      <c r="L49" s="22">
        <v>4</v>
      </c>
      <c r="M49" s="22">
        <v>7</v>
      </c>
      <c r="N49" s="22">
        <f>SUM(B49:M49)</f>
        <v>48</v>
      </c>
      <c r="O49" s="72"/>
    </row>
    <row r="50" spans="1:16" x14ac:dyDescent="0.2">
      <c r="M50" t="s">
        <v>494</v>
      </c>
      <c r="N50" s="22">
        <f>AVERAGE(B49:M49)</f>
        <v>4</v>
      </c>
      <c r="O50" s="72">
        <f>SUM(N50*12)/425</f>
        <v>0.11294117647058824</v>
      </c>
      <c r="P50" t="s">
        <v>497</v>
      </c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8"/>
  <sheetViews>
    <sheetView topLeftCell="A64" workbookViewId="0">
      <selection activeCell="AC14" sqref="AC14:AO14"/>
    </sheetView>
  </sheetViews>
  <sheetFormatPr defaultRowHeight="12.75" x14ac:dyDescent="0.2"/>
  <cols>
    <col min="1" max="1" width="16.85546875" customWidth="1"/>
  </cols>
  <sheetData>
    <row r="1" spans="1:28" x14ac:dyDescent="0.2">
      <c r="A1" s="44" t="s">
        <v>526</v>
      </c>
      <c r="B1" s="44"/>
      <c r="C1" s="44"/>
      <c r="D1" s="44"/>
      <c r="E1" s="44"/>
      <c r="F1" s="44"/>
      <c r="G1" s="44"/>
      <c r="H1" s="44"/>
      <c r="I1" s="44" t="s">
        <v>525</v>
      </c>
      <c r="J1" s="44"/>
      <c r="K1" s="44"/>
      <c r="L1" s="44"/>
      <c r="M1" s="44"/>
      <c r="N1" s="44"/>
      <c r="O1" s="44"/>
    </row>
    <row r="2" spans="1:28" x14ac:dyDescent="0.2">
      <c r="A2" s="73" t="s">
        <v>506</v>
      </c>
      <c r="B2" s="73">
        <v>1</v>
      </c>
      <c r="C2" s="73">
        <v>2</v>
      </c>
      <c r="D2" s="73">
        <v>3</v>
      </c>
      <c r="E2" s="73">
        <v>4</v>
      </c>
      <c r="F2" s="73">
        <v>5</v>
      </c>
      <c r="G2" s="73">
        <v>6</v>
      </c>
      <c r="H2" s="73">
        <v>7</v>
      </c>
      <c r="I2" s="73">
        <v>8</v>
      </c>
      <c r="J2" s="73">
        <v>9</v>
      </c>
      <c r="K2" s="73">
        <v>10</v>
      </c>
      <c r="L2" s="73">
        <v>11</v>
      </c>
      <c r="M2" s="73">
        <v>12</v>
      </c>
      <c r="N2" s="73">
        <v>13</v>
      </c>
      <c r="O2" s="44"/>
    </row>
    <row r="3" spans="1:28" x14ac:dyDescent="0.2">
      <c r="A3" s="44" t="s">
        <v>504</v>
      </c>
      <c r="B3" s="44">
        <v>49379</v>
      </c>
      <c r="C3" s="44">
        <v>66</v>
      </c>
      <c r="D3" s="44">
        <v>175</v>
      </c>
      <c r="E3" s="44">
        <v>43935</v>
      </c>
      <c r="F3" s="44">
        <v>70</v>
      </c>
      <c r="G3" s="44"/>
      <c r="H3" s="44"/>
      <c r="I3" s="44"/>
      <c r="J3" s="44"/>
      <c r="K3" s="44"/>
      <c r="L3" s="44"/>
      <c r="M3" s="44"/>
      <c r="N3" s="44"/>
      <c r="O3" s="44"/>
    </row>
    <row r="4" spans="1:28" x14ac:dyDescent="0.2">
      <c r="A4" s="44" t="s">
        <v>4</v>
      </c>
      <c r="B4" s="44">
        <v>10605</v>
      </c>
      <c r="C4" s="44">
        <v>20319</v>
      </c>
      <c r="D4" s="44">
        <v>36514</v>
      </c>
      <c r="E4" s="44">
        <v>13.7</v>
      </c>
      <c r="F4" s="44">
        <v>3.9</v>
      </c>
      <c r="G4" s="44"/>
      <c r="H4" s="44"/>
      <c r="I4" s="44"/>
      <c r="J4" s="44"/>
      <c r="K4" s="44"/>
      <c r="L4" s="44"/>
      <c r="M4" s="44"/>
      <c r="N4" s="44"/>
      <c r="O4" s="44"/>
    </row>
    <row r="5" spans="1:28" x14ac:dyDescent="0.2">
      <c r="A5" s="44" t="s">
        <v>243</v>
      </c>
      <c r="B5" s="44">
        <v>4508</v>
      </c>
      <c r="C5" s="44"/>
      <c r="D5" s="44">
        <v>2583</v>
      </c>
      <c r="E5" s="44">
        <v>195</v>
      </c>
      <c r="F5" s="44">
        <v>15</v>
      </c>
      <c r="G5" s="44">
        <v>145</v>
      </c>
      <c r="H5" s="44"/>
      <c r="I5" s="44"/>
      <c r="J5" s="44"/>
      <c r="K5" s="44"/>
      <c r="L5" s="44"/>
      <c r="M5" s="44"/>
      <c r="N5" s="44"/>
      <c r="O5" s="44"/>
    </row>
    <row r="6" spans="1:28" x14ac:dyDescent="0.2">
      <c r="A6" s="44" t="s">
        <v>507</v>
      </c>
      <c r="B6" s="44">
        <v>38674</v>
      </c>
      <c r="C6" s="44">
        <v>31798</v>
      </c>
      <c r="D6" s="44">
        <v>1270</v>
      </c>
      <c r="E6" s="44">
        <v>1538</v>
      </c>
      <c r="F6" s="44">
        <v>17.5</v>
      </c>
      <c r="G6" s="44">
        <v>48.4</v>
      </c>
      <c r="H6" s="44">
        <v>5</v>
      </c>
      <c r="I6" s="44">
        <v>182</v>
      </c>
      <c r="J6" s="44"/>
      <c r="K6" s="44"/>
      <c r="L6" s="44"/>
      <c r="M6" s="44"/>
      <c r="N6" s="44"/>
      <c r="O6" s="44"/>
    </row>
    <row r="7" spans="1:28" x14ac:dyDescent="0.2">
      <c r="A7" s="44" t="s">
        <v>469</v>
      </c>
      <c r="B7" s="44">
        <v>11412</v>
      </c>
      <c r="C7" s="44">
        <v>3.07</v>
      </c>
      <c r="D7" s="44">
        <v>1731</v>
      </c>
      <c r="E7" s="44">
        <v>0.46</v>
      </c>
      <c r="F7" s="44">
        <v>133</v>
      </c>
      <c r="G7" s="44"/>
      <c r="H7" s="44"/>
      <c r="I7" s="44"/>
      <c r="J7" s="44"/>
      <c r="K7" s="44"/>
      <c r="L7" s="44"/>
      <c r="M7" s="44"/>
      <c r="N7" s="44"/>
      <c r="O7" s="44"/>
    </row>
    <row r="8" spans="1:28" x14ac:dyDescent="0.2">
      <c r="A8" s="44" t="s">
        <v>508</v>
      </c>
      <c r="B8" s="44">
        <v>2495</v>
      </c>
      <c r="C8" s="44">
        <v>1970</v>
      </c>
      <c r="D8" s="44">
        <v>396</v>
      </c>
      <c r="E8" s="44">
        <v>0</v>
      </c>
      <c r="F8" s="44">
        <v>133</v>
      </c>
      <c r="G8" s="44">
        <v>315</v>
      </c>
      <c r="H8" s="44">
        <v>2270</v>
      </c>
      <c r="I8" s="44">
        <v>610</v>
      </c>
      <c r="J8" s="44">
        <v>324</v>
      </c>
      <c r="K8" s="44">
        <v>175</v>
      </c>
      <c r="L8" s="44">
        <v>21713</v>
      </c>
      <c r="M8" s="44"/>
      <c r="N8" s="44"/>
      <c r="O8" s="44"/>
    </row>
    <row r="9" spans="1:28" x14ac:dyDescent="0.2">
      <c r="A9" s="44" t="s">
        <v>513</v>
      </c>
      <c r="B9" s="44">
        <v>610</v>
      </c>
      <c r="C9" s="44">
        <v>104</v>
      </c>
      <c r="D9" s="44">
        <v>80</v>
      </c>
      <c r="E9" s="44">
        <v>27</v>
      </c>
      <c r="F9" s="44">
        <v>23</v>
      </c>
      <c r="G9" s="44">
        <v>7</v>
      </c>
      <c r="H9" s="44">
        <v>134</v>
      </c>
      <c r="I9" s="44"/>
      <c r="J9" s="44"/>
      <c r="K9" s="44"/>
      <c r="L9" s="44"/>
      <c r="M9" s="44"/>
      <c r="N9" s="44"/>
      <c r="O9" s="44"/>
    </row>
    <row r="10" spans="1:28" x14ac:dyDescent="0.2">
      <c r="A10" s="44" t="s">
        <v>27</v>
      </c>
      <c r="B10" s="44">
        <v>7864</v>
      </c>
      <c r="C10" s="44">
        <v>56.2</v>
      </c>
      <c r="D10" s="44">
        <v>1.87</v>
      </c>
      <c r="E10" s="44">
        <v>7.9</v>
      </c>
      <c r="F10" s="44">
        <v>2883</v>
      </c>
      <c r="G10" s="44">
        <v>22.6</v>
      </c>
      <c r="H10" s="44"/>
      <c r="I10" s="44">
        <v>24.1</v>
      </c>
      <c r="J10" s="44">
        <v>22.2</v>
      </c>
      <c r="K10" s="44">
        <v>25.4</v>
      </c>
      <c r="L10" s="44">
        <v>21.2</v>
      </c>
      <c r="M10" s="44">
        <v>20</v>
      </c>
      <c r="N10" s="44"/>
      <c r="O10" s="44"/>
    </row>
    <row r="11" spans="1:28" x14ac:dyDescent="0.2">
      <c r="A11" s="44" t="s">
        <v>514</v>
      </c>
      <c r="B11" s="44">
        <v>155</v>
      </c>
      <c r="C11" s="44">
        <v>802</v>
      </c>
      <c r="D11" s="44">
        <v>242</v>
      </c>
      <c r="E11" s="44">
        <v>297</v>
      </c>
      <c r="F11" s="44">
        <v>83.3</v>
      </c>
      <c r="G11" s="44">
        <v>95.7</v>
      </c>
      <c r="H11" s="44">
        <v>835</v>
      </c>
      <c r="I11" s="44">
        <v>99.3</v>
      </c>
      <c r="J11" s="44">
        <v>194</v>
      </c>
      <c r="K11" s="44">
        <v>322</v>
      </c>
      <c r="L11" s="44"/>
      <c r="M11" s="44"/>
      <c r="N11" s="44"/>
      <c r="O11" s="44"/>
    </row>
    <row r="12" spans="1:28" x14ac:dyDescent="0.2">
      <c r="A12" s="44" t="s">
        <v>235</v>
      </c>
      <c r="B12" s="44">
        <v>2085</v>
      </c>
      <c r="C12" s="44">
        <v>8.4</v>
      </c>
      <c r="D12" s="44">
        <v>2781</v>
      </c>
      <c r="E12" s="44">
        <v>431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28" x14ac:dyDescent="0.2">
      <c r="A13" s="44" t="s">
        <v>515</v>
      </c>
      <c r="B13" s="44">
        <v>1651</v>
      </c>
      <c r="C13" s="44">
        <v>4978</v>
      </c>
      <c r="D13" s="44">
        <v>21.6</v>
      </c>
      <c r="E13" s="44">
        <v>4</v>
      </c>
      <c r="F13" s="44">
        <v>413</v>
      </c>
      <c r="G13" s="44">
        <v>3</v>
      </c>
      <c r="H13" s="44">
        <v>326</v>
      </c>
      <c r="I13" s="44">
        <v>1234</v>
      </c>
      <c r="J13" s="44">
        <v>7737</v>
      </c>
      <c r="K13" s="44">
        <v>22.5</v>
      </c>
      <c r="L13" s="44">
        <v>85</v>
      </c>
      <c r="M13" s="44">
        <v>238</v>
      </c>
      <c r="N13" s="44">
        <v>5348</v>
      </c>
      <c r="O13" s="44"/>
    </row>
    <row r="14" spans="1:28" x14ac:dyDescent="0.2">
      <c r="A14" s="44" t="s">
        <v>475</v>
      </c>
      <c r="B14" s="44">
        <v>38</v>
      </c>
      <c r="C14" s="44">
        <v>8.5</v>
      </c>
      <c r="D14" s="44">
        <v>20</v>
      </c>
      <c r="E14" s="44">
        <v>3.6</v>
      </c>
      <c r="F14" s="44">
        <v>2900</v>
      </c>
      <c r="G14" s="44">
        <v>24300</v>
      </c>
      <c r="H14" s="44"/>
      <c r="I14" s="44"/>
      <c r="J14" s="44"/>
      <c r="K14" s="44"/>
      <c r="L14" s="44"/>
      <c r="M14" s="44"/>
      <c r="N14" s="44"/>
      <c r="O14" s="44"/>
      <c r="P14">
        <f>AVERAGE(B13,B46,B79)</f>
        <v>1661</v>
      </c>
      <c r="Q14">
        <f t="shared" ref="Q14:AB14" si="0">AVERAGE(C13,C46,C79)</f>
        <v>4890.666666666667</v>
      </c>
      <c r="R14">
        <f t="shared" si="0"/>
        <v>20.266666666666666</v>
      </c>
      <c r="S14">
        <f t="shared" si="0"/>
        <v>4.666666666666667</v>
      </c>
      <c r="T14">
        <f t="shared" si="0"/>
        <v>413.66666666666669</v>
      </c>
      <c r="U14">
        <f t="shared" si="0"/>
        <v>1.6666666666666667</v>
      </c>
      <c r="V14">
        <f t="shared" si="0"/>
        <v>240.66666666666666</v>
      </c>
      <c r="W14">
        <f t="shared" si="0"/>
        <v>1128.6666666666667</v>
      </c>
      <c r="X14">
        <f t="shared" si="0"/>
        <v>7645.333333333333</v>
      </c>
      <c r="Y14">
        <f t="shared" si="0"/>
        <v>25.666666666666668</v>
      </c>
      <c r="Z14">
        <f t="shared" si="0"/>
        <v>92.333333333333329</v>
      </c>
      <c r="AA14">
        <f t="shared" si="0"/>
        <v>217.33333333333334</v>
      </c>
      <c r="AB14">
        <f t="shared" si="0"/>
        <v>5469.333333333333</v>
      </c>
    </row>
    <row r="15" spans="1:28" x14ac:dyDescent="0.2">
      <c r="A15" s="44" t="s">
        <v>236</v>
      </c>
      <c r="B15" s="44">
        <v>3019</v>
      </c>
      <c r="C15" s="44">
        <v>208</v>
      </c>
      <c r="D15" s="44">
        <v>2570</v>
      </c>
      <c r="E15" s="44">
        <v>1663</v>
      </c>
      <c r="F15" s="44">
        <v>1556</v>
      </c>
      <c r="G15" s="44">
        <v>1.71</v>
      </c>
      <c r="H15" s="44">
        <v>36.299999999999997</v>
      </c>
      <c r="I15" s="44">
        <v>35.200000000000003</v>
      </c>
      <c r="J15" s="44">
        <v>2951</v>
      </c>
      <c r="K15" s="44">
        <v>96.6</v>
      </c>
      <c r="L15" s="44"/>
      <c r="M15" s="44"/>
      <c r="N15" s="44"/>
      <c r="O15" s="44"/>
    </row>
    <row r="16" spans="1:28" x14ac:dyDescent="0.2">
      <c r="A16" s="44" t="s">
        <v>238</v>
      </c>
      <c r="B16" s="44">
        <v>100</v>
      </c>
      <c r="C16" s="44">
        <v>99.9</v>
      </c>
      <c r="D16" s="44">
        <v>100</v>
      </c>
      <c r="E16" s="44">
        <v>58</v>
      </c>
      <c r="F16" s="44">
        <v>67</v>
      </c>
      <c r="G16" s="44">
        <v>139</v>
      </c>
      <c r="H16" s="44"/>
      <c r="I16" s="44"/>
      <c r="J16" s="44"/>
      <c r="K16" s="44"/>
      <c r="L16" s="44"/>
      <c r="M16" s="44"/>
      <c r="N16" s="44"/>
      <c r="O16" s="44"/>
    </row>
    <row r="17" spans="1:15" x14ac:dyDescent="0.2">
      <c r="A17" s="44" t="s">
        <v>8</v>
      </c>
      <c r="B17" s="44">
        <v>86.1</v>
      </c>
      <c r="C17" s="44">
        <v>13.3</v>
      </c>
      <c r="D17" s="44">
        <v>2399</v>
      </c>
      <c r="E17" s="44">
        <v>6.6</v>
      </c>
      <c r="F17" s="44">
        <v>2419</v>
      </c>
      <c r="G17" s="44">
        <v>78</v>
      </c>
      <c r="H17" s="44"/>
      <c r="I17" s="44"/>
      <c r="J17" s="44"/>
      <c r="K17" s="44"/>
      <c r="L17" s="44"/>
      <c r="M17" s="44"/>
      <c r="N17" s="44"/>
      <c r="O17" s="44"/>
    </row>
    <row r="18" spans="1:15" x14ac:dyDescent="0.2">
      <c r="A18" s="44" t="s">
        <v>9</v>
      </c>
      <c r="B18" s="44">
        <v>225675</v>
      </c>
      <c r="C18" s="44">
        <v>132675</v>
      </c>
      <c r="D18" s="44">
        <v>8306</v>
      </c>
      <c r="E18" s="44">
        <v>29041</v>
      </c>
      <c r="F18" s="44">
        <v>148156</v>
      </c>
      <c r="G18" s="44">
        <v>35751</v>
      </c>
      <c r="H18" s="44">
        <v>2.4</v>
      </c>
      <c r="I18" s="44">
        <v>3.02</v>
      </c>
      <c r="J18" s="44">
        <v>6.19</v>
      </c>
      <c r="K18" s="44"/>
      <c r="L18" s="44"/>
      <c r="M18" s="44"/>
      <c r="N18" s="44"/>
      <c r="O18" s="44"/>
    </row>
    <row r="19" spans="1:15" x14ac:dyDescent="0.2">
      <c r="A19" s="44" t="s">
        <v>516</v>
      </c>
      <c r="B19" s="44">
        <v>15</v>
      </c>
      <c r="C19" s="44">
        <v>11</v>
      </c>
      <c r="D19" s="44">
        <v>11</v>
      </c>
      <c r="E19" s="44">
        <v>1</v>
      </c>
      <c r="F19" s="44">
        <v>7.1</v>
      </c>
      <c r="G19" s="44">
        <v>0</v>
      </c>
      <c r="H19" s="44">
        <v>745</v>
      </c>
      <c r="I19" s="44"/>
      <c r="J19" s="44"/>
      <c r="K19" s="44"/>
      <c r="L19" s="44"/>
      <c r="M19" s="44"/>
      <c r="N19" s="44"/>
      <c r="O19" s="44"/>
    </row>
    <row r="20" spans="1:15" x14ac:dyDescent="0.2">
      <c r="A20" s="44" t="s">
        <v>517</v>
      </c>
      <c r="B20" s="44">
        <v>138</v>
      </c>
      <c r="C20" s="44">
        <v>0</v>
      </c>
      <c r="D20" s="44">
        <v>148</v>
      </c>
      <c r="E20" s="44">
        <v>27</v>
      </c>
      <c r="F20" s="44">
        <v>4749</v>
      </c>
      <c r="G20" s="44">
        <v>424</v>
      </c>
      <c r="H20" s="44">
        <v>2821</v>
      </c>
      <c r="I20" s="44">
        <v>96.3</v>
      </c>
      <c r="J20" s="44">
        <v>547</v>
      </c>
      <c r="K20" s="44">
        <v>98.5</v>
      </c>
      <c r="L20" s="44">
        <v>123</v>
      </c>
      <c r="M20" s="44"/>
      <c r="N20" s="44"/>
      <c r="O20" s="44"/>
    </row>
    <row r="21" spans="1:15" x14ac:dyDescent="0.2">
      <c r="A21" s="44" t="s">
        <v>10</v>
      </c>
      <c r="B21" s="44">
        <v>2018</v>
      </c>
      <c r="C21" s="44">
        <v>1382</v>
      </c>
      <c r="D21" s="44">
        <v>4952</v>
      </c>
      <c r="E21" s="44">
        <v>1204</v>
      </c>
      <c r="F21" s="44">
        <v>8.1999999999999993</v>
      </c>
      <c r="G21" s="44">
        <v>233282</v>
      </c>
      <c r="H21" s="44">
        <v>170012</v>
      </c>
      <c r="I21" s="44"/>
      <c r="J21" s="44"/>
      <c r="K21" s="44"/>
      <c r="L21" s="44"/>
      <c r="M21" s="44"/>
      <c r="N21" s="44"/>
      <c r="O21" s="44"/>
    </row>
    <row r="22" spans="1:15" x14ac:dyDescent="0.2">
      <c r="A22" s="44" t="s">
        <v>66</v>
      </c>
      <c r="B22" s="44">
        <v>88</v>
      </c>
      <c r="C22" s="44">
        <v>89</v>
      </c>
      <c r="D22" s="44">
        <v>40</v>
      </c>
      <c r="E22" s="44">
        <v>1225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">
      <c r="A23" s="44" t="s">
        <v>241</v>
      </c>
      <c r="B23" s="44">
        <v>332373</v>
      </c>
      <c r="C23" s="44">
        <v>63507</v>
      </c>
      <c r="D23" s="44">
        <v>18767</v>
      </c>
      <c r="E23" s="44">
        <v>3.4</v>
      </c>
      <c r="F23" s="44">
        <v>0.2</v>
      </c>
      <c r="G23" s="44">
        <v>9.32</v>
      </c>
      <c r="H23" s="44">
        <v>1.95</v>
      </c>
      <c r="I23" s="44"/>
      <c r="J23" s="44"/>
      <c r="K23" s="44"/>
      <c r="L23" s="44"/>
      <c r="M23" s="44"/>
      <c r="N23" s="44"/>
      <c r="O23" s="44"/>
    </row>
    <row r="24" spans="1:15" x14ac:dyDescent="0.2">
      <c r="A24" s="44" t="s">
        <v>11</v>
      </c>
      <c r="B24" s="44">
        <v>12389</v>
      </c>
      <c r="C24" s="44">
        <v>80</v>
      </c>
      <c r="D24" s="44">
        <v>617</v>
      </c>
      <c r="E24" s="44">
        <v>20</v>
      </c>
      <c r="F24" s="44">
        <v>28.2</v>
      </c>
      <c r="G24" s="44">
        <v>6581</v>
      </c>
      <c r="H24" s="44">
        <v>1741</v>
      </c>
      <c r="I24" s="44">
        <v>459</v>
      </c>
      <c r="J24" s="44">
        <v>20.3</v>
      </c>
      <c r="K24" s="44">
        <v>33.9</v>
      </c>
      <c r="L24" s="44"/>
      <c r="M24" s="44"/>
      <c r="N24" s="44"/>
      <c r="O24" s="44"/>
    </row>
    <row r="25" spans="1:15" x14ac:dyDescent="0.2">
      <c r="A25" s="44" t="s">
        <v>237</v>
      </c>
      <c r="B25" s="44">
        <v>4589</v>
      </c>
      <c r="C25" s="44">
        <v>1259</v>
      </c>
      <c r="D25" s="44">
        <v>1098</v>
      </c>
      <c r="E25" s="44">
        <v>725</v>
      </c>
      <c r="F25" s="44">
        <v>3.85</v>
      </c>
      <c r="G25" s="44">
        <v>22581</v>
      </c>
      <c r="H25" s="44">
        <v>91.3</v>
      </c>
      <c r="I25" s="44"/>
      <c r="J25" s="44"/>
      <c r="K25" s="44"/>
      <c r="L25" s="44"/>
      <c r="M25" s="44"/>
      <c r="N25" s="44"/>
      <c r="O25" s="44"/>
    </row>
    <row r="26" spans="1:15" x14ac:dyDescent="0.2">
      <c r="A26" s="44" t="s">
        <v>12</v>
      </c>
      <c r="B26" s="44">
        <v>826</v>
      </c>
      <c r="C26" s="44">
        <v>62.6</v>
      </c>
      <c r="D26" s="44">
        <v>1</v>
      </c>
      <c r="E26" s="44">
        <v>40.6</v>
      </c>
      <c r="F26" s="44">
        <v>51488</v>
      </c>
      <c r="G26" s="44">
        <v>130</v>
      </c>
      <c r="H26" s="44">
        <v>76.3</v>
      </c>
      <c r="I26" s="44">
        <v>100</v>
      </c>
      <c r="J26" s="44">
        <v>98.8</v>
      </c>
      <c r="K26" s="44">
        <v>97.8</v>
      </c>
      <c r="L26" s="44">
        <v>273.2</v>
      </c>
      <c r="M26" s="44"/>
      <c r="N26" s="44"/>
      <c r="O26" s="44"/>
    </row>
    <row r="27" spans="1:15" x14ac:dyDescent="0.2">
      <c r="A27" s="44" t="s">
        <v>14</v>
      </c>
      <c r="B27" s="44">
        <v>1</v>
      </c>
      <c r="C27" s="44">
        <v>0</v>
      </c>
      <c r="D27" s="44">
        <v>23</v>
      </c>
      <c r="E27" s="44">
        <v>88.29</v>
      </c>
      <c r="F27" s="44">
        <v>1.57</v>
      </c>
      <c r="G27" s="44">
        <v>0.28000000000000003</v>
      </c>
      <c r="H27" s="44"/>
      <c r="I27" s="44"/>
      <c r="J27" s="44"/>
      <c r="K27" s="44"/>
      <c r="L27" s="44"/>
      <c r="M27" s="44"/>
      <c r="N27" s="44"/>
      <c r="O27" s="44"/>
    </row>
    <row r="28" spans="1:15" x14ac:dyDescent="0.2">
      <c r="A28" s="44" t="s">
        <v>15</v>
      </c>
      <c r="B28" s="44">
        <v>2058</v>
      </c>
      <c r="C28" s="44">
        <v>640</v>
      </c>
      <c r="D28" s="44">
        <v>96.57</v>
      </c>
      <c r="E28" s="44">
        <v>88.61</v>
      </c>
      <c r="F28" s="44">
        <v>95.86</v>
      </c>
      <c r="G28" s="44">
        <v>0</v>
      </c>
      <c r="H28" s="44">
        <v>30514</v>
      </c>
      <c r="I28" s="44">
        <v>14632</v>
      </c>
      <c r="J28" s="44">
        <v>197</v>
      </c>
      <c r="K28" s="44"/>
      <c r="L28" s="44"/>
      <c r="M28" s="44"/>
      <c r="N28" s="44"/>
      <c r="O28" s="44"/>
    </row>
    <row r="29" spans="1:15" x14ac:dyDescent="0.2">
      <c r="A29" s="44" t="s">
        <v>518</v>
      </c>
      <c r="B29" s="44">
        <v>1157</v>
      </c>
      <c r="C29" s="44">
        <v>1704</v>
      </c>
      <c r="D29" s="44">
        <v>2861</v>
      </c>
      <c r="E29" s="44">
        <v>11.5</v>
      </c>
      <c r="F29" s="44"/>
      <c r="G29" s="44"/>
      <c r="H29" s="44"/>
      <c r="I29" s="44">
        <v>2</v>
      </c>
      <c r="J29" s="44"/>
      <c r="K29" s="44"/>
      <c r="L29" s="44"/>
      <c r="M29" s="44"/>
      <c r="N29" s="44"/>
      <c r="O29" s="44"/>
    </row>
    <row r="30" spans="1:15" x14ac:dyDescent="0.2">
      <c r="A30" s="44" t="s">
        <v>16</v>
      </c>
      <c r="B30" s="44">
        <v>8769</v>
      </c>
      <c r="C30" s="44">
        <v>2238</v>
      </c>
      <c r="D30" s="44">
        <v>11</v>
      </c>
      <c r="E30" s="44">
        <v>6209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2">
      <c r="A31" s="44" t="s">
        <v>240</v>
      </c>
      <c r="B31" s="44">
        <v>49718</v>
      </c>
      <c r="C31" s="44">
        <v>7619</v>
      </c>
      <c r="D31" s="44">
        <v>2719</v>
      </c>
      <c r="E31" s="44">
        <v>8.9</v>
      </c>
      <c r="F31" s="44">
        <v>15.7</v>
      </c>
      <c r="G31" s="44">
        <v>17.8</v>
      </c>
      <c r="H31" s="44"/>
      <c r="I31" s="44"/>
      <c r="J31" s="44"/>
      <c r="K31" s="44"/>
      <c r="L31" s="44"/>
      <c r="M31" s="44"/>
      <c r="N31" s="44"/>
      <c r="O31" s="44"/>
    </row>
    <row r="32" spans="1:15" x14ac:dyDescent="0.2">
      <c r="A32" s="70">
        <v>911</v>
      </c>
      <c r="B32" s="44">
        <v>120253</v>
      </c>
      <c r="C32" s="44">
        <v>2.3199999999999998</v>
      </c>
      <c r="D32" s="44">
        <v>1</v>
      </c>
      <c r="E32" s="44">
        <v>3.18</v>
      </c>
      <c r="F32" s="44">
        <v>4.38</v>
      </c>
      <c r="G32" s="44"/>
      <c r="H32" s="44"/>
      <c r="I32" s="44"/>
      <c r="J32" s="44"/>
      <c r="K32" s="44"/>
      <c r="L32" s="44"/>
      <c r="M32" s="44"/>
      <c r="N32" s="44"/>
      <c r="O32" s="44"/>
    </row>
    <row r="33" spans="1:1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x14ac:dyDescent="0.2">
      <c r="A34" s="44" t="s">
        <v>527</v>
      </c>
      <c r="B34" s="44"/>
      <c r="C34" s="44"/>
      <c r="D34" s="44"/>
      <c r="E34" s="44"/>
      <c r="F34" s="44"/>
      <c r="G34" s="44"/>
      <c r="H34" s="44"/>
      <c r="I34" s="44" t="s">
        <v>505</v>
      </c>
      <c r="J34" s="44"/>
      <c r="K34" s="44"/>
      <c r="L34" s="44"/>
      <c r="M34" s="44"/>
      <c r="N34" s="44"/>
      <c r="O34" s="44"/>
    </row>
    <row r="35" spans="1:15" x14ac:dyDescent="0.2">
      <c r="A35" s="73" t="s">
        <v>506</v>
      </c>
      <c r="B35" s="73">
        <v>1</v>
      </c>
      <c r="C35" s="73">
        <v>2</v>
      </c>
      <c r="D35" s="73">
        <v>3</v>
      </c>
      <c r="E35" s="73">
        <v>4</v>
      </c>
      <c r="F35" s="73">
        <v>5</v>
      </c>
      <c r="G35" s="73">
        <v>6</v>
      </c>
      <c r="H35" s="73">
        <v>7</v>
      </c>
      <c r="I35" s="73">
        <v>8</v>
      </c>
      <c r="J35" s="73">
        <v>9</v>
      </c>
      <c r="K35" s="73">
        <v>10</v>
      </c>
      <c r="L35" s="73">
        <v>11</v>
      </c>
      <c r="M35" s="73">
        <v>12</v>
      </c>
      <c r="N35" s="73">
        <v>13</v>
      </c>
      <c r="O35" s="44"/>
    </row>
    <row r="36" spans="1:15" x14ac:dyDescent="0.2">
      <c r="A36" s="44" t="s">
        <v>504</v>
      </c>
      <c r="B36" s="44">
        <v>61636</v>
      </c>
      <c r="C36" s="44">
        <v>61</v>
      </c>
      <c r="D36" s="44">
        <v>156</v>
      </c>
      <c r="E36" s="44">
        <v>37834</v>
      </c>
      <c r="F36" s="44">
        <v>62</v>
      </c>
      <c r="G36" s="44"/>
      <c r="H36" s="44"/>
      <c r="I36" s="44"/>
      <c r="J36" s="44"/>
      <c r="K36" s="44"/>
      <c r="L36" s="44"/>
      <c r="M36" s="44"/>
      <c r="N36" s="44"/>
      <c r="O36" s="44"/>
    </row>
    <row r="37" spans="1:15" x14ac:dyDescent="0.2">
      <c r="A37" s="44" t="s">
        <v>4</v>
      </c>
      <c r="B37" s="44">
        <v>9969</v>
      </c>
      <c r="C37" s="44">
        <v>24066</v>
      </c>
      <c r="D37" s="44">
        <v>33281</v>
      </c>
      <c r="E37" s="44">
        <v>22</v>
      </c>
      <c r="F37" s="44">
        <v>2</v>
      </c>
      <c r="G37" s="44"/>
      <c r="H37" s="44"/>
      <c r="I37" s="44"/>
      <c r="J37" s="44"/>
      <c r="K37" s="44"/>
      <c r="L37" s="44"/>
      <c r="M37" s="44"/>
      <c r="N37" s="44"/>
      <c r="O37" s="44"/>
    </row>
    <row r="38" spans="1:15" x14ac:dyDescent="0.2">
      <c r="A38" s="44" t="s">
        <v>243</v>
      </c>
      <c r="B38" s="44">
        <v>4704</v>
      </c>
      <c r="C38" s="44">
        <v>18.8</v>
      </c>
      <c r="D38" s="44">
        <v>2901</v>
      </c>
      <c r="E38" s="44">
        <v>279</v>
      </c>
      <c r="F38" s="44">
        <v>21</v>
      </c>
      <c r="G38" s="44">
        <v>166</v>
      </c>
      <c r="H38" s="44"/>
      <c r="I38" s="44"/>
      <c r="J38" s="44"/>
      <c r="K38" s="44"/>
      <c r="L38" s="44"/>
      <c r="M38" s="44"/>
      <c r="N38" s="44"/>
      <c r="O38" s="44"/>
    </row>
    <row r="39" spans="1:15" x14ac:dyDescent="0.2">
      <c r="A39" s="44" t="s">
        <v>507</v>
      </c>
      <c r="B39" s="44">
        <v>39279</v>
      </c>
      <c r="C39" s="44">
        <v>23101</v>
      </c>
      <c r="D39" s="44">
        <v>1597</v>
      </c>
      <c r="E39" s="44">
        <v>1130</v>
      </c>
      <c r="F39" s="44">
        <v>9</v>
      </c>
      <c r="G39" s="44">
        <v>40.799999999999997</v>
      </c>
      <c r="H39" s="44">
        <v>5</v>
      </c>
      <c r="I39" s="44">
        <v>320</v>
      </c>
      <c r="J39" s="44"/>
      <c r="K39" s="44"/>
      <c r="L39" s="44"/>
      <c r="M39" s="44"/>
      <c r="N39" s="44"/>
      <c r="O39" s="44"/>
    </row>
    <row r="40" spans="1:15" x14ac:dyDescent="0.2">
      <c r="A40" s="44" t="s">
        <v>469</v>
      </c>
      <c r="B40" s="44">
        <v>11756</v>
      </c>
      <c r="C40" s="44">
        <v>3.1</v>
      </c>
      <c r="D40" s="44">
        <v>2065</v>
      </c>
      <c r="E40" s="44">
        <v>0.55000000000000004</v>
      </c>
      <c r="F40" s="44">
        <v>59</v>
      </c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A41" s="44" t="s">
        <v>508</v>
      </c>
      <c r="B41" s="44">
        <v>9846</v>
      </c>
      <c r="C41" s="44">
        <v>732</v>
      </c>
      <c r="D41" s="44">
        <v>14</v>
      </c>
      <c r="E41" s="44">
        <v>0</v>
      </c>
      <c r="F41" s="44">
        <v>335</v>
      </c>
      <c r="G41" s="44">
        <v>273</v>
      </c>
      <c r="H41" s="44">
        <v>2654</v>
      </c>
      <c r="I41" s="44">
        <v>501</v>
      </c>
      <c r="J41" s="44">
        <v>86</v>
      </c>
      <c r="K41" s="44">
        <v>1067</v>
      </c>
      <c r="L41" s="44">
        <v>7191</v>
      </c>
      <c r="M41" s="44"/>
      <c r="N41" s="44"/>
      <c r="O41" s="44"/>
    </row>
    <row r="42" spans="1:15" x14ac:dyDescent="0.2">
      <c r="A42" s="44" t="s">
        <v>513</v>
      </c>
      <c r="B42" s="44">
        <v>542</v>
      </c>
      <c r="C42" s="44">
        <v>103</v>
      </c>
      <c r="D42" s="44">
        <v>74</v>
      </c>
      <c r="E42" s="44">
        <v>27</v>
      </c>
      <c r="F42" s="44">
        <v>19</v>
      </c>
      <c r="G42" s="44">
        <v>8</v>
      </c>
      <c r="H42" s="44">
        <v>830</v>
      </c>
      <c r="I42" s="44"/>
      <c r="J42" s="44"/>
      <c r="K42" s="44"/>
      <c r="L42" s="44"/>
      <c r="M42" s="44"/>
      <c r="N42" s="44"/>
      <c r="O42" s="44"/>
    </row>
    <row r="43" spans="1:15" x14ac:dyDescent="0.2">
      <c r="A43" s="44" t="s">
        <v>27</v>
      </c>
      <c r="B43" s="44">
        <v>8666</v>
      </c>
      <c r="C43" s="44">
        <v>56.6</v>
      </c>
      <c r="D43" s="44">
        <v>1.79</v>
      </c>
      <c r="E43" s="44">
        <v>7.8</v>
      </c>
      <c r="F43" s="44">
        <v>3342</v>
      </c>
      <c r="G43" s="44">
        <v>25.7</v>
      </c>
      <c r="H43" s="44"/>
      <c r="I43" s="44">
        <v>27.7</v>
      </c>
      <c r="J43" s="44">
        <v>25.7</v>
      </c>
      <c r="K43" s="44">
        <v>29.2</v>
      </c>
      <c r="L43" s="44">
        <v>23.2</v>
      </c>
      <c r="M43" s="44">
        <v>23.3</v>
      </c>
      <c r="N43" s="44"/>
      <c r="O43" s="44"/>
    </row>
    <row r="44" spans="1:15" x14ac:dyDescent="0.2">
      <c r="A44" s="44" t="s">
        <v>514</v>
      </c>
      <c r="B44" s="44">
        <v>186</v>
      </c>
      <c r="C44" s="44">
        <v>769</v>
      </c>
      <c r="D44" s="44">
        <v>272</v>
      </c>
      <c r="E44" s="44">
        <v>238</v>
      </c>
      <c r="F44" s="44">
        <v>85.9</v>
      </c>
      <c r="G44" s="44">
        <v>92.8</v>
      </c>
      <c r="H44" s="44">
        <v>798</v>
      </c>
      <c r="I44" s="44">
        <v>96.5</v>
      </c>
      <c r="J44" s="44">
        <v>264</v>
      </c>
      <c r="K44" s="44">
        <v>328</v>
      </c>
      <c r="L44" s="44"/>
      <c r="M44" s="44"/>
      <c r="N44" s="44"/>
      <c r="O44" s="44"/>
    </row>
    <row r="45" spans="1:15" x14ac:dyDescent="0.2">
      <c r="A45" s="44" t="s">
        <v>235</v>
      </c>
      <c r="B45" s="44">
        <v>2018</v>
      </c>
      <c r="C45" s="44">
        <v>8.1</v>
      </c>
      <c r="D45" s="44">
        <v>3038</v>
      </c>
      <c r="E45" s="44">
        <v>176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A46" s="44" t="s">
        <v>515</v>
      </c>
      <c r="B46" s="44">
        <v>1743</v>
      </c>
      <c r="C46" s="44">
        <v>5029</v>
      </c>
      <c r="D46" s="44">
        <v>20.399999999999999</v>
      </c>
      <c r="E46" s="44">
        <v>2</v>
      </c>
      <c r="F46" s="44">
        <v>453</v>
      </c>
      <c r="G46" s="44">
        <v>1</v>
      </c>
      <c r="H46" s="44">
        <v>241</v>
      </c>
      <c r="I46" s="44">
        <v>1157</v>
      </c>
      <c r="J46" s="44">
        <v>7759</v>
      </c>
      <c r="K46" s="44">
        <v>26.2</v>
      </c>
      <c r="L46" s="44">
        <v>97</v>
      </c>
      <c r="M46" s="44">
        <v>194</v>
      </c>
      <c r="N46" s="44">
        <v>5753</v>
      </c>
      <c r="O46" s="44"/>
    </row>
    <row r="47" spans="1:15" x14ac:dyDescent="0.2">
      <c r="A47" s="44" t="s">
        <v>475</v>
      </c>
      <c r="B47" s="44">
        <v>44</v>
      </c>
      <c r="C47" s="44">
        <v>10.199999999999999</v>
      </c>
      <c r="D47" s="44">
        <v>32</v>
      </c>
      <c r="E47" s="44">
        <v>7.4</v>
      </c>
      <c r="F47" s="44">
        <v>4008</v>
      </c>
      <c r="G47" s="44">
        <v>25606</v>
      </c>
      <c r="H47" s="44"/>
      <c r="I47" s="44"/>
      <c r="J47" s="44"/>
      <c r="K47" s="44"/>
      <c r="L47" s="44"/>
      <c r="M47" s="44"/>
      <c r="N47" s="44"/>
      <c r="O47" s="44"/>
    </row>
    <row r="48" spans="1:15" x14ac:dyDescent="0.2">
      <c r="A48" s="44" t="s">
        <v>236</v>
      </c>
      <c r="B48" s="44">
        <v>2743</v>
      </c>
      <c r="C48" s="44">
        <v>289</v>
      </c>
      <c r="D48" s="44">
        <v>2303</v>
      </c>
      <c r="E48" s="44">
        <v>1595</v>
      </c>
      <c r="F48" s="44">
        <v>1305</v>
      </c>
      <c r="G48" s="44">
        <v>1.47</v>
      </c>
      <c r="H48" s="44">
        <v>33.1</v>
      </c>
      <c r="I48" s="44">
        <v>36.299999999999997</v>
      </c>
      <c r="J48" s="44">
        <v>2980</v>
      </c>
      <c r="K48" s="44">
        <v>87.9</v>
      </c>
      <c r="L48" s="44"/>
      <c r="M48" s="44"/>
      <c r="N48" s="44"/>
      <c r="O48" s="44"/>
    </row>
    <row r="49" spans="1:15" x14ac:dyDescent="0.2">
      <c r="A49" s="44" t="s">
        <v>238</v>
      </c>
      <c r="B49" s="44">
        <v>100</v>
      </c>
      <c r="C49" s="44">
        <v>100</v>
      </c>
      <c r="D49" s="44">
        <v>100</v>
      </c>
      <c r="E49" s="44">
        <v>48.5</v>
      </c>
      <c r="F49" s="44">
        <v>53.3</v>
      </c>
      <c r="G49" s="44">
        <v>141</v>
      </c>
      <c r="H49" s="44"/>
      <c r="I49" s="44"/>
      <c r="J49" s="44"/>
      <c r="K49" s="44"/>
      <c r="L49" s="44"/>
      <c r="M49" s="44"/>
      <c r="N49" s="44"/>
      <c r="O49" s="44"/>
    </row>
    <row r="50" spans="1:15" x14ac:dyDescent="0.2">
      <c r="A50" s="44" t="s">
        <v>8</v>
      </c>
      <c r="B50" s="44">
        <v>74.099999999999994</v>
      </c>
      <c r="C50" s="44">
        <v>12</v>
      </c>
      <c r="D50" s="44">
        <v>2295</v>
      </c>
      <c r="E50" s="44">
        <v>6.2</v>
      </c>
      <c r="F50" s="44">
        <v>2266</v>
      </c>
      <c r="G50" s="44">
        <v>75.900000000000006</v>
      </c>
      <c r="H50" s="44"/>
      <c r="I50" s="44"/>
      <c r="J50" s="44"/>
      <c r="K50" s="44"/>
      <c r="L50" s="44"/>
      <c r="M50" s="44"/>
      <c r="N50" s="44"/>
      <c r="O50" s="44"/>
    </row>
    <row r="51" spans="1:15" x14ac:dyDescent="0.2">
      <c r="A51" s="44" t="s">
        <v>9</v>
      </c>
      <c r="B51" s="44">
        <v>213204</v>
      </c>
      <c r="C51" s="44">
        <v>124482</v>
      </c>
      <c r="D51" s="44">
        <v>7301</v>
      </c>
      <c r="E51" s="44">
        <v>29249</v>
      </c>
      <c r="F51" s="44">
        <v>142567</v>
      </c>
      <c r="G51" s="44">
        <v>39061</v>
      </c>
      <c r="H51" s="44">
        <v>2.4</v>
      </c>
      <c r="I51" s="44">
        <v>3.01</v>
      </c>
      <c r="J51" s="44">
        <v>6.76</v>
      </c>
      <c r="K51" s="44">
        <v>4611</v>
      </c>
      <c r="L51" s="44">
        <v>2454</v>
      </c>
      <c r="M51" s="44">
        <v>44</v>
      </c>
      <c r="N51" s="44">
        <v>0</v>
      </c>
      <c r="O51" s="44"/>
    </row>
    <row r="52" spans="1:15" x14ac:dyDescent="0.2">
      <c r="A52" s="44" t="s">
        <v>516</v>
      </c>
      <c r="B52" s="44">
        <v>23</v>
      </c>
      <c r="C52" s="44">
        <v>21</v>
      </c>
      <c r="D52" s="44">
        <v>19</v>
      </c>
      <c r="E52" s="44">
        <v>17</v>
      </c>
      <c r="F52" s="44">
        <v>0</v>
      </c>
      <c r="G52" s="44">
        <v>0</v>
      </c>
      <c r="H52" s="44">
        <v>0</v>
      </c>
      <c r="I52" s="44">
        <v>1945</v>
      </c>
      <c r="J52" s="44"/>
      <c r="K52" s="44"/>
      <c r="L52" s="44"/>
      <c r="M52" s="44"/>
      <c r="N52" s="44"/>
      <c r="O52" s="44"/>
    </row>
    <row r="53" spans="1:15" x14ac:dyDescent="0.2">
      <c r="A53" s="44" t="s">
        <v>517</v>
      </c>
      <c r="B53" s="44">
        <v>205</v>
      </c>
      <c r="C53" s="44">
        <v>0</v>
      </c>
      <c r="D53" s="44">
        <v>263</v>
      </c>
      <c r="E53" s="44">
        <v>19</v>
      </c>
      <c r="F53" s="44">
        <v>4824</v>
      </c>
      <c r="G53" s="44">
        <v>594</v>
      </c>
      <c r="H53" s="44">
        <v>240</v>
      </c>
      <c r="I53" s="44">
        <v>98.4</v>
      </c>
      <c r="J53" s="44">
        <v>655</v>
      </c>
      <c r="K53" s="44">
        <v>98.9</v>
      </c>
      <c r="L53" s="44">
        <v>195</v>
      </c>
      <c r="M53" s="44"/>
      <c r="N53" s="44"/>
      <c r="O53" s="44"/>
    </row>
    <row r="54" spans="1:15" x14ac:dyDescent="0.2">
      <c r="A54" s="44" t="s">
        <v>10</v>
      </c>
      <c r="B54" s="44">
        <v>1756</v>
      </c>
      <c r="C54" s="44">
        <v>1441</v>
      </c>
      <c r="D54" s="44">
        <v>5223</v>
      </c>
      <c r="E54" s="44">
        <v>1073</v>
      </c>
      <c r="F54" s="44">
        <v>7.06</v>
      </c>
      <c r="G54" s="44">
        <v>228655</v>
      </c>
      <c r="H54" s="44">
        <v>175046</v>
      </c>
      <c r="I54" s="44"/>
      <c r="J54" s="44"/>
      <c r="K54" s="44"/>
      <c r="L54" s="44"/>
      <c r="M54" s="44"/>
      <c r="N54" s="44"/>
      <c r="O54" s="44"/>
    </row>
    <row r="55" spans="1:15" x14ac:dyDescent="0.2">
      <c r="A55" s="44" t="s">
        <v>66</v>
      </c>
      <c r="B55" s="44">
        <v>50</v>
      </c>
      <c r="C55" s="44">
        <v>115</v>
      </c>
      <c r="D55" s="44">
        <v>40</v>
      </c>
      <c r="E55" s="44">
        <v>1414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x14ac:dyDescent="0.2">
      <c r="A56" s="44" t="s">
        <v>241</v>
      </c>
      <c r="B56" s="44">
        <v>313790</v>
      </c>
      <c r="C56" s="44">
        <v>62588</v>
      </c>
      <c r="D56" s="44">
        <v>17966</v>
      </c>
      <c r="E56" s="44">
        <v>3.5</v>
      </c>
      <c r="F56" s="44">
        <v>0.23</v>
      </c>
      <c r="G56" s="44">
        <v>8.2899999999999991</v>
      </c>
      <c r="H56" s="44">
        <v>1.9</v>
      </c>
      <c r="I56" s="44"/>
      <c r="J56" s="44"/>
      <c r="K56" s="44"/>
      <c r="L56" s="44"/>
      <c r="M56" s="44"/>
      <c r="N56" s="44"/>
      <c r="O56" s="44"/>
    </row>
    <row r="57" spans="1:15" x14ac:dyDescent="0.2">
      <c r="A57" s="44" t="s">
        <v>11</v>
      </c>
      <c r="B57" s="44">
        <v>12638</v>
      </c>
      <c r="C57" s="44">
        <v>62</v>
      </c>
      <c r="D57" s="44">
        <v>648</v>
      </c>
      <c r="E57" s="44">
        <v>29</v>
      </c>
      <c r="F57" s="44">
        <v>18.399999999999999</v>
      </c>
      <c r="G57" s="44">
        <v>8698</v>
      </c>
      <c r="H57" s="44">
        <v>1953</v>
      </c>
      <c r="I57" s="44">
        <v>603</v>
      </c>
      <c r="J57" s="44">
        <v>20.8</v>
      </c>
      <c r="K57" s="44">
        <v>34.5</v>
      </c>
      <c r="L57" s="44"/>
      <c r="M57" s="44"/>
      <c r="N57" s="44"/>
      <c r="O57" s="44"/>
    </row>
    <row r="58" spans="1:15" x14ac:dyDescent="0.2">
      <c r="A58" s="44" t="s">
        <v>237</v>
      </c>
      <c r="B58" s="44">
        <v>4261</v>
      </c>
      <c r="C58" s="44">
        <v>1225</v>
      </c>
      <c r="D58" s="44">
        <v>1024</v>
      </c>
      <c r="E58" s="44">
        <v>799</v>
      </c>
      <c r="F58" s="44">
        <v>3.99</v>
      </c>
      <c r="G58" s="44">
        <v>21310</v>
      </c>
      <c r="H58" s="44">
        <v>85.3</v>
      </c>
      <c r="I58" s="44"/>
      <c r="J58" s="44"/>
      <c r="K58" s="44"/>
      <c r="L58" s="44"/>
      <c r="M58" s="44"/>
      <c r="N58" s="44"/>
      <c r="O58" s="44"/>
    </row>
    <row r="59" spans="1:15" x14ac:dyDescent="0.2">
      <c r="A59" s="44" t="s">
        <v>12</v>
      </c>
      <c r="B59" s="44">
        <v>985</v>
      </c>
      <c r="C59" s="44">
        <v>63.2</v>
      </c>
      <c r="D59" s="44">
        <v>7.25</v>
      </c>
      <c r="E59" s="44">
        <v>31.2</v>
      </c>
      <c r="F59" s="44">
        <v>48562</v>
      </c>
      <c r="G59" s="44">
        <v>126</v>
      </c>
      <c r="H59" s="44">
        <v>97.2</v>
      </c>
      <c r="I59" s="44">
        <v>100</v>
      </c>
      <c r="J59" s="44">
        <v>99.3</v>
      </c>
      <c r="K59" s="44">
        <v>99.3</v>
      </c>
      <c r="L59" s="44">
        <v>215.4</v>
      </c>
      <c r="M59" s="44"/>
      <c r="N59" s="44"/>
      <c r="O59" s="44"/>
    </row>
    <row r="60" spans="1:15" x14ac:dyDescent="0.2">
      <c r="A60" s="44" t="s">
        <v>14</v>
      </c>
      <c r="B60" s="44">
        <v>2</v>
      </c>
      <c r="C60" s="44">
        <v>353</v>
      </c>
      <c r="D60" s="44">
        <v>1</v>
      </c>
      <c r="E60" s="44">
        <v>94.6</v>
      </c>
      <c r="F60" s="44">
        <v>0</v>
      </c>
      <c r="G60" s="44">
        <v>1.6</v>
      </c>
      <c r="H60" s="44"/>
      <c r="I60" s="44"/>
      <c r="J60" s="44"/>
      <c r="K60" s="44"/>
      <c r="L60" s="44"/>
      <c r="M60" s="44"/>
      <c r="N60" s="44"/>
      <c r="O60" s="44"/>
    </row>
    <row r="61" spans="1:15" x14ac:dyDescent="0.2">
      <c r="A61" s="44" t="s">
        <v>15</v>
      </c>
      <c r="B61" s="44">
        <v>2109</v>
      </c>
      <c r="C61" s="44">
        <v>1503</v>
      </c>
      <c r="D61" s="44">
        <v>96.1</v>
      </c>
      <c r="E61" s="44">
        <v>87.2</v>
      </c>
      <c r="F61" s="44">
        <v>95.2</v>
      </c>
      <c r="G61" s="44">
        <v>0</v>
      </c>
      <c r="H61" s="44">
        <v>28041</v>
      </c>
      <c r="I61" s="44">
        <v>0</v>
      </c>
      <c r="J61" s="44">
        <v>103</v>
      </c>
      <c r="K61" s="44"/>
      <c r="L61" s="44"/>
      <c r="M61" s="44"/>
      <c r="N61" s="44"/>
      <c r="O61" s="44"/>
    </row>
    <row r="62" spans="1:15" x14ac:dyDescent="0.2">
      <c r="A62" s="44" t="s">
        <v>518</v>
      </c>
      <c r="B62" s="44">
        <v>1861</v>
      </c>
      <c r="C62" s="44">
        <v>1097</v>
      </c>
      <c r="D62" s="44">
        <v>2898</v>
      </c>
      <c r="E62" s="44">
        <v>11.8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x14ac:dyDescent="0.2">
      <c r="A63" s="44" t="s">
        <v>16</v>
      </c>
      <c r="B63" s="44">
        <v>9001</v>
      </c>
      <c r="C63" s="44">
        <v>1928</v>
      </c>
      <c r="D63" s="44">
        <v>6</v>
      </c>
      <c r="E63" s="44">
        <v>6675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x14ac:dyDescent="0.2">
      <c r="A64" s="44" t="s">
        <v>240</v>
      </c>
      <c r="B64" s="44">
        <v>51109</v>
      </c>
      <c r="C64" s="44">
        <v>7686</v>
      </c>
      <c r="D64" s="44">
        <v>2488</v>
      </c>
      <c r="E64" s="44">
        <v>9.9</v>
      </c>
      <c r="F64" s="44">
        <v>13.3</v>
      </c>
      <c r="G64" s="44">
        <v>11</v>
      </c>
      <c r="H64" s="44">
        <v>36.700000000000003</v>
      </c>
      <c r="I64" s="44">
        <v>32.200000000000003</v>
      </c>
      <c r="J64" s="44">
        <v>11.6</v>
      </c>
      <c r="K64" s="44"/>
      <c r="L64" s="44"/>
      <c r="M64" s="44"/>
      <c r="N64" s="44"/>
      <c r="O64" s="44"/>
    </row>
    <row r="65" spans="1:15" x14ac:dyDescent="0.2">
      <c r="A65" s="70">
        <v>911</v>
      </c>
      <c r="B65" s="44">
        <v>122006</v>
      </c>
      <c r="C65" s="44">
        <v>2.36</v>
      </c>
      <c r="D65" s="44">
        <v>0.92</v>
      </c>
      <c r="E65" s="44">
        <v>3.05</v>
      </c>
      <c r="F65" s="44">
        <v>4.51</v>
      </c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x14ac:dyDescent="0.2">
      <c r="A67" s="44" t="s">
        <v>535</v>
      </c>
      <c r="B67" s="44"/>
      <c r="C67" s="44"/>
      <c r="D67" s="44"/>
      <c r="E67" s="44"/>
      <c r="F67" s="44"/>
      <c r="G67" s="44"/>
      <c r="H67" s="44"/>
      <c r="I67" s="44" t="s">
        <v>534</v>
      </c>
      <c r="J67" s="44"/>
      <c r="K67" s="44"/>
      <c r="L67" s="44"/>
      <c r="M67" s="44"/>
      <c r="N67" s="44"/>
      <c r="O67" s="44"/>
    </row>
    <row r="68" spans="1:15" x14ac:dyDescent="0.2">
      <c r="A68" s="73" t="s">
        <v>506</v>
      </c>
      <c r="B68" s="73">
        <v>1</v>
      </c>
      <c r="C68" s="73">
        <v>2</v>
      </c>
      <c r="D68" s="73">
        <v>3</v>
      </c>
      <c r="E68" s="73">
        <v>4</v>
      </c>
      <c r="F68" s="73">
        <v>5</v>
      </c>
      <c r="G68" s="73">
        <v>6</v>
      </c>
      <c r="H68" s="73">
        <v>7</v>
      </c>
      <c r="I68" s="73">
        <v>8</v>
      </c>
      <c r="J68" s="73">
        <v>9</v>
      </c>
      <c r="K68" s="73">
        <v>10</v>
      </c>
      <c r="L68" s="73">
        <v>11</v>
      </c>
      <c r="M68" s="73">
        <v>12</v>
      </c>
      <c r="N68" s="73">
        <v>13</v>
      </c>
      <c r="O68" s="44"/>
    </row>
    <row r="69" spans="1:15" x14ac:dyDescent="0.2">
      <c r="A69" s="44" t="s">
        <v>504</v>
      </c>
      <c r="B69" s="44">
        <v>68329</v>
      </c>
      <c r="C69" s="44">
        <v>65</v>
      </c>
      <c r="D69" s="44">
        <v>211</v>
      </c>
      <c r="E69" s="44">
        <v>44198</v>
      </c>
      <c r="F69" s="44">
        <v>68</v>
      </c>
      <c r="G69" s="44"/>
      <c r="H69" s="44"/>
      <c r="I69" s="44"/>
      <c r="J69" s="44"/>
      <c r="K69" s="44"/>
      <c r="L69" s="44"/>
      <c r="M69" s="44"/>
      <c r="N69" s="44"/>
      <c r="O69" s="44"/>
    </row>
    <row r="70" spans="1:15" x14ac:dyDescent="0.2">
      <c r="A70" s="44" t="s">
        <v>4</v>
      </c>
      <c r="B70" s="44">
        <v>10271</v>
      </c>
      <c r="C70" s="44">
        <v>21140</v>
      </c>
      <c r="D70" s="44">
        <v>49792</v>
      </c>
      <c r="E70" s="44">
        <v>19.100000000000001</v>
      </c>
      <c r="F70" s="44">
        <v>5.3</v>
      </c>
      <c r="G70" s="44"/>
      <c r="H70" s="44"/>
      <c r="I70" s="44"/>
      <c r="J70" s="44"/>
      <c r="K70" s="44"/>
      <c r="L70" s="44"/>
      <c r="M70" s="44"/>
      <c r="N70" s="44"/>
      <c r="O70" s="44"/>
    </row>
    <row r="71" spans="1:15" x14ac:dyDescent="0.2">
      <c r="A71" s="44" t="s">
        <v>243</v>
      </c>
      <c r="B71" s="44">
        <v>3925</v>
      </c>
      <c r="C71" s="44">
        <v>15.9</v>
      </c>
      <c r="D71" s="44">
        <v>2052</v>
      </c>
      <c r="E71" s="44">
        <v>340</v>
      </c>
      <c r="F71" s="44">
        <v>50</v>
      </c>
      <c r="G71" s="44">
        <v>132</v>
      </c>
      <c r="H71" s="44"/>
      <c r="I71" s="44"/>
      <c r="J71" s="44"/>
      <c r="K71" s="44"/>
      <c r="L71" s="44"/>
      <c r="M71" s="44"/>
      <c r="N71" s="44"/>
      <c r="O71" s="44"/>
    </row>
    <row r="72" spans="1:15" x14ac:dyDescent="0.2">
      <c r="A72" s="44" t="s">
        <v>507</v>
      </c>
      <c r="B72" s="44">
        <v>39784</v>
      </c>
      <c r="C72" s="44">
        <v>78185</v>
      </c>
      <c r="D72" s="44">
        <v>3217</v>
      </c>
      <c r="E72" s="44">
        <v>3201</v>
      </c>
      <c r="F72" s="44">
        <v>21.4</v>
      </c>
      <c r="G72" s="44">
        <v>38.9</v>
      </c>
      <c r="H72" s="44">
        <v>5.5</v>
      </c>
      <c r="I72" s="44">
        <v>667</v>
      </c>
      <c r="J72" s="44"/>
      <c r="K72" s="44"/>
      <c r="L72" s="44"/>
      <c r="M72" s="44"/>
      <c r="N72" s="44"/>
      <c r="O72" s="44"/>
    </row>
    <row r="73" spans="1:15" x14ac:dyDescent="0.2">
      <c r="A73" s="44" t="s">
        <v>469</v>
      </c>
      <c r="B73" s="44">
        <v>12252</v>
      </c>
      <c r="C73" s="44">
        <v>3.3</v>
      </c>
      <c r="D73" s="44">
        <v>2297</v>
      </c>
      <c r="E73" s="44">
        <v>0.62</v>
      </c>
      <c r="F73" s="44">
        <v>47.5</v>
      </c>
      <c r="G73" s="44"/>
      <c r="H73" s="44"/>
      <c r="I73" s="44"/>
      <c r="J73" s="44"/>
      <c r="K73" s="44"/>
      <c r="L73" s="44"/>
      <c r="M73" s="44"/>
      <c r="N73" s="44"/>
      <c r="O73" s="44"/>
    </row>
    <row r="74" spans="1:15" x14ac:dyDescent="0.2">
      <c r="A74" s="44" t="s">
        <v>508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x14ac:dyDescent="0.2">
      <c r="A75" s="44" t="s">
        <v>513</v>
      </c>
      <c r="B75" s="44">
        <v>510</v>
      </c>
      <c r="C75" s="44">
        <v>111</v>
      </c>
      <c r="D75" s="44">
        <v>74</v>
      </c>
      <c r="E75" s="44">
        <v>22</v>
      </c>
      <c r="F75" s="44">
        <v>26</v>
      </c>
      <c r="G75" s="44">
        <v>7</v>
      </c>
      <c r="H75" s="44">
        <v>284</v>
      </c>
      <c r="I75" s="44"/>
      <c r="J75" s="44"/>
      <c r="K75" s="44"/>
      <c r="L75" s="44"/>
      <c r="M75" s="44"/>
      <c r="N75" s="44"/>
      <c r="O75" s="44"/>
    </row>
    <row r="76" spans="1:15" x14ac:dyDescent="0.2">
      <c r="A76" s="44" t="s">
        <v>27</v>
      </c>
      <c r="B76" s="44">
        <v>8625</v>
      </c>
      <c r="C76" s="44">
        <v>58.6</v>
      </c>
      <c r="D76" s="44">
        <v>1.67</v>
      </c>
      <c r="E76" s="44">
        <v>7.86</v>
      </c>
      <c r="F76" s="44">
        <v>320</v>
      </c>
      <c r="G76" s="44">
        <v>26.7</v>
      </c>
      <c r="H76" s="44"/>
      <c r="I76" s="44">
        <v>28.3</v>
      </c>
      <c r="J76" s="44">
        <v>26.1</v>
      </c>
      <c r="K76" s="44">
        <v>30.7</v>
      </c>
      <c r="L76" s="44">
        <v>22.9</v>
      </c>
      <c r="M76" s="44">
        <v>24.9</v>
      </c>
      <c r="N76" s="44"/>
      <c r="O76" s="44"/>
    </row>
    <row r="77" spans="1:15" x14ac:dyDescent="0.2">
      <c r="A77" s="44" t="s">
        <v>514</v>
      </c>
      <c r="B77" s="44">
        <v>157</v>
      </c>
      <c r="C77" s="44">
        <v>768</v>
      </c>
      <c r="D77" s="44">
        <v>318</v>
      </c>
      <c r="E77" s="44">
        <v>237</v>
      </c>
      <c r="F77" s="44">
        <v>74.8</v>
      </c>
      <c r="G77" s="44">
        <v>94.9</v>
      </c>
      <c r="H77" s="44">
        <v>691</v>
      </c>
      <c r="I77" s="44">
        <v>100</v>
      </c>
      <c r="J77" s="44">
        <v>215</v>
      </c>
      <c r="K77" s="44">
        <v>238</v>
      </c>
      <c r="L77" s="44"/>
      <c r="M77" s="44"/>
      <c r="N77" s="44"/>
      <c r="O77" s="44"/>
    </row>
    <row r="78" spans="1:15" x14ac:dyDescent="0.2">
      <c r="A78" s="44" t="s">
        <v>235</v>
      </c>
      <c r="B78" s="44">
        <v>1988</v>
      </c>
      <c r="C78" s="44">
        <v>8.07</v>
      </c>
      <c r="D78" s="44">
        <v>2672</v>
      </c>
      <c r="E78" s="44">
        <v>147</v>
      </c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x14ac:dyDescent="0.2">
      <c r="A79" s="44" t="s">
        <v>515</v>
      </c>
      <c r="B79" s="44">
        <v>1589</v>
      </c>
      <c r="C79" s="44">
        <v>4665</v>
      </c>
      <c r="D79" s="44">
        <v>18.8</v>
      </c>
      <c r="E79" s="44">
        <v>8</v>
      </c>
      <c r="F79" s="44">
        <v>375</v>
      </c>
      <c r="G79" s="44">
        <v>1</v>
      </c>
      <c r="H79" s="44">
        <v>155</v>
      </c>
      <c r="I79" s="44">
        <v>995</v>
      </c>
      <c r="J79" s="44">
        <v>7440</v>
      </c>
      <c r="K79" s="44">
        <v>28.3</v>
      </c>
      <c r="L79" s="44">
        <v>95</v>
      </c>
      <c r="M79" s="44">
        <v>220</v>
      </c>
      <c r="N79" s="44">
        <v>5307</v>
      </c>
      <c r="O79" s="44"/>
    </row>
    <row r="80" spans="1:15" x14ac:dyDescent="0.2">
      <c r="A80" s="44" t="s">
        <v>475</v>
      </c>
      <c r="B80" s="44">
        <v>38</v>
      </c>
      <c r="C80" s="44">
        <v>9.0500000000000007</v>
      </c>
      <c r="D80" s="44">
        <v>31</v>
      </c>
      <c r="E80" s="44">
        <v>7.48</v>
      </c>
      <c r="F80" s="44">
        <v>3227</v>
      </c>
      <c r="G80" s="44">
        <v>26989</v>
      </c>
      <c r="H80" s="44"/>
      <c r="I80" s="44"/>
      <c r="J80" s="44"/>
      <c r="K80" s="44"/>
      <c r="L80" s="44"/>
      <c r="M80" s="44"/>
      <c r="N80" s="44"/>
      <c r="O80" s="44"/>
    </row>
    <row r="81" spans="1:15" x14ac:dyDescent="0.2">
      <c r="A81" s="44" t="s">
        <v>236</v>
      </c>
      <c r="B81" s="44">
        <v>2304</v>
      </c>
      <c r="C81" s="44">
        <v>281</v>
      </c>
      <c r="D81" s="44">
        <v>2445</v>
      </c>
      <c r="E81" s="44">
        <v>1374</v>
      </c>
      <c r="F81" s="44">
        <v>1342</v>
      </c>
      <c r="G81" s="44">
        <v>1.53</v>
      </c>
      <c r="H81" s="44">
        <v>31.5</v>
      </c>
      <c r="I81" s="44">
        <v>32.4</v>
      </c>
      <c r="J81" s="44">
        <v>3222</v>
      </c>
      <c r="K81" s="44">
        <v>89.2</v>
      </c>
      <c r="L81" s="44"/>
      <c r="M81" s="44"/>
      <c r="N81" s="44"/>
      <c r="O81" s="44"/>
    </row>
    <row r="82" spans="1:15" x14ac:dyDescent="0.2">
      <c r="A82" s="44" t="s">
        <v>238</v>
      </c>
      <c r="B82" s="44">
        <v>100</v>
      </c>
      <c r="C82" s="44">
        <v>100</v>
      </c>
      <c r="D82" s="44">
        <v>100</v>
      </c>
      <c r="E82" s="44">
        <v>49</v>
      </c>
      <c r="F82" s="44">
        <v>58</v>
      </c>
      <c r="G82" s="44">
        <v>112</v>
      </c>
      <c r="H82" s="44"/>
      <c r="I82" s="44"/>
      <c r="J82" s="44"/>
      <c r="K82" s="44"/>
      <c r="L82" s="44"/>
      <c r="M82" s="44"/>
      <c r="N82" s="44"/>
      <c r="O82" s="44"/>
    </row>
    <row r="83" spans="1:15" x14ac:dyDescent="0.2">
      <c r="A83" s="44" t="s">
        <v>8</v>
      </c>
      <c r="B83" s="44">
        <v>73.400000000000006</v>
      </c>
      <c r="C83" s="44">
        <v>12.9</v>
      </c>
      <c r="D83" s="44">
        <v>2084</v>
      </c>
      <c r="E83" s="44">
        <v>5.7</v>
      </c>
      <c r="F83" s="44">
        <v>2094</v>
      </c>
      <c r="G83" s="44">
        <v>66.599999999999994</v>
      </c>
      <c r="H83" s="44"/>
      <c r="I83" s="44"/>
      <c r="J83" s="44"/>
      <c r="K83" s="44"/>
      <c r="L83" s="44"/>
      <c r="M83" s="44"/>
      <c r="N83" s="44"/>
      <c r="O83" s="44"/>
    </row>
    <row r="84" spans="1:15" x14ac:dyDescent="0.2">
      <c r="A84" s="44" t="s">
        <v>9</v>
      </c>
      <c r="B84" s="44">
        <v>190288</v>
      </c>
      <c r="C84" s="44">
        <v>111973</v>
      </c>
      <c r="D84" s="44">
        <v>8552</v>
      </c>
      <c r="E84" s="44">
        <v>30437</v>
      </c>
      <c r="F84" s="44">
        <v>144869</v>
      </c>
      <c r="G84" s="44">
        <v>35186</v>
      </c>
      <c r="H84" s="44">
        <v>2.57</v>
      </c>
      <c r="I84" s="44">
        <v>3.13</v>
      </c>
      <c r="J84" s="44">
        <v>6.51</v>
      </c>
      <c r="K84" s="44">
        <v>3508</v>
      </c>
      <c r="L84" s="44">
        <v>2286</v>
      </c>
      <c r="M84" s="44">
        <v>39</v>
      </c>
      <c r="N84" s="44">
        <v>0</v>
      </c>
      <c r="O84" s="44"/>
    </row>
    <row r="85" spans="1:15" x14ac:dyDescent="0.2">
      <c r="A85" s="44" t="s">
        <v>516</v>
      </c>
      <c r="B85" s="44">
        <v>14</v>
      </c>
      <c r="C85" s="44">
        <v>14</v>
      </c>
      <c r="D85" s="44">
        <v>15</v>
      </c>
      <c r="E85" s="44">
        <v>14</v>
      </c>
      <c r="F85" s="44">
        <v>0</v>
      </c>
      <c r="G85" s="44">
        <v>0</v>
      </c>
      <c r="H85" s="44">
        <v>1240</v>
      </c>
      <c r="I85" s="44">
        <v>3.3</v>
      </c>
      <c r="J85" s="44">
        <v>3.3</v>
      </c>
      <c r="K85" s="44"/>
      <c r="L85" s="44"/>
      <c r="M85" s="44"/>
      <c r="N85" s="44"/>
      <c r="O85" s="44"/>
    </row>
    <row r="86" spans="1:15" x14ac:dyDescent="0.2">
      <c r="A86" s="44" t="s">
        <v>517</v>
      </c>
      <c r="B86" s="44">
        <v>309</v>
      </c>
      <c r="C86" s="44">
        <v>1</v>
      </c>
      <c r="D86" s="44">
        <v>381</v>
      </c>
      <c r="E86" s="44">
        <v>23</v>
      </c>
      <c r="F86" s="44">
        <v>3545</v>
      </c>
      <c r="G86" s="44">
        <v>506</v>
      </c>
      <c r="H86" s="44">
        <v>3436</v>
      </c>
      <c r="I86" s="44">
        <v>94.2</v>
      </c>
      <c r="J86" s="44">
        <v>586</v>
      </c>
      <c r="K86" s="44">
        <v>95.8</v>
      </c>
      <c r="L86" s="44">
        <v>139</v>
      </c>
      <c r="M86" s="44"/>
      <c r="N86" s="44"/>
      <c r="O86" s="44"/>
    </row>
    <row r="87" spans="1:15" x14ac:dyDescent="0.2">
      <c r="A87" s="44" t="s">
        <v>10</v>
      </c>
      <c r="B87" s="44">
        <v>2070</v>
      </c>
      <c r="C87" s="44">
        <v>1635</v>
      </c>
      <c r="D87" s="44">
        <v>4892</v>
      </c>
      <c r="E87" s="44">
        <v>755</v>
      </c>
      <c r="F87" s="44">
        <v>8.4</v>
      </c>
      <c r="G87" s="44">
        <v>243999</v>
      </c>
      <c r="H87" s="44">
        <v>215236</v>
      </c>
      <c r="I87" s="44"/>
      <c r="J87" s="44"/>
      <c r="K87" s="44"/>
      <c r="L87" s="44"/>
      <c r="M87" s="44"/>
      <c r="N87" s="44"/>
      <c r="O87" s="44"/>
    </row>
    <row r="88" spans="1:15" x14ac:dyDescent="0.2">
      <c r="A88" s="44" t="s">
        <v>66</v>
      </c>
      <c r="B88" s="44">
        <v>29</v>
      </c>
      <c r="C88" s="44">
        <v>127</v>
      </c>
      <c r="D88" s="44">
        <v>33</v>
      </c>
      <c r="E88" s="44">
        <v>1323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x14ac:dyDescent="0.2">
      <c r="A89" s="44" t="s">
        <v>241</v>
      </c>
      <c r="B89" s="44">
        <v>286007</v>
      </c>
      <c r="C89" s="44">
        <v>53350</v>
      </c>
      <c r="D89" s="44">
        <v>16929</v>
      </c>
      <c r="E89" s="44">
        <v>3.3</v>
      </c>
      <c r="F89" s="44">
        <v>0.2</v>
      </c>
      <c r="G89" s="44">
        <v>10.18</v>
      </c>
      <c r="H89" s="44">
        <v>1.91</v>
      </c>
      <c r="I89" s="44"/>
      <c r="J89" s="44"/>
      <c r="K89" s="44"/>
      <c r="L89" s="44"/>
      <c r="M89" s="44"/>
      <c r="N89" s="44"/>
      <c r="O89" s="44"/>
    </row>
    <row r="90" spans="1:15" x14ac:dyDescent="0.2">
      <c r="A90" s="44" t="s">
        <v>11</v>
      </c>
      <c r="B90" s="44">
        <v>12785</v>
      </c>
      <c r="C90" s="44">
        <v>50</v>
      </c>
      <c r="D90" s="44">
        <v>498</v>
      </c>
      <c r="E90" s="44">
        <v>19</v>
      </c>
      <c r="F90" s="44">
        <v>27.8</v>
      </c>
      <c r="G90" s="44">
        <v>4874</v>
      </c>
      <c r="H90" s="44">
        <v>3146</v>
      </c>
      <c r="I90" s="44">
        <v>1178</v>
      </c>
      <c r="J90" s="44">
        <v>20.399999999999999</v>
      </c>
      <c r="K90" s="44">
        <v>35.299999999999997</v>
      </c>
      <c r="L90" s="44"/>
      <c r="M90" s="44"/>
      <c r="N90" s="44"/>
      <c r="O90" s="44"/>
    </row>
    <row r="91" spans="1:15" x14ac:dyDescent="0.2">
      <c r="A91" s="44" t="s">
        <v>237</v>
      </c>
      <c r="B91" s="44">
        <v>3819</v>
      </c>
      <c r="C91" s="44">
        <v>1116</v>
      </c>
      <c r="D91" s="44">
        <v>977</v>
      </c>
      <c r="E91" s="44">
        <v>840</v>
      </c>
      <c r="F91" s="44">
        <v>3.99</v>
      </c>
      <c r="G91" s="44">
        <v>21866</v>
      </c>
      <c r="H91" s="44">
        <v>88.8</v>
      </c>
      <c r="I91" s="44"/>
      <c r="J91" s="44"/>
      <c r="K91" s="44"/>
      <c r="L91" s="44"/>
      <c r="M91" s="44"/>
      <c r="N91" s="44"/>
      <c r="O91" s="44"/>
    </row>
    <row r="92" spans="1:15" x14ac:dyDescent="0.2">
      <c r="A92" s="44" t="s">
        <v>12</v>
      </c>
      <c r="B92" s="44">
        <v>890</v>
      </c>
      <c r="C92" s="44">
        <v>66.099999999999994</v>
      </c>
      <c r="D92" s="44">
        <v>7</v>
      </c>
      <c r="E92" s="44">
        <v>38.799999999999997</v>
      </c>
      <c r="F92" s="44">
        <v>49601</v>
      </c>
      <c r="G92" s="44">
        <v>201</v>
      </c>
      <c r="H92" s="44">
        <v>100</v>
      </c>
      <c r="I92" s="44">
        <v>98.6</v>
      </c>
      <c r="J92" s="44">
        <v>98.1</v>
      </c>
      <c r="K92" s="44">
        <v>99.4</v>
      </c>
      <c r="L92" s="44">
        <v>132</v>
      </c>
      <c r="M92" s="44"/>
      <c r="N92" s="44"/>
      <c r="O92" s="44"/>
    </row>
    <row r="93" spans="1:15" x14ac:dyDescent="0.2">
      <c r="A93" s="44" t="s">
        <v>14</v>
      </c>
      <c r="B93" s="44">
        <v>3</v>
      </c>
      <c r="C93" s="44">
        <v>470</v>
      </c>
      <c r="D93" s="44">
        <v>1</v>
      </c>
      <c r="E93" s="44">
        <v>98.7</v>
      </c>
      <c r="F93" s="44">
        <v>1.36</v>
      </c>
      <c r="G93" s="44">
        <v>0</v>
      </c>
      <c r="H93" s="44"/>
      <c r="I93" s="44"/>
      <c r="J93" s="44"/>
      <c r="K93" s="44"/>
      <c r="L93" s="44"/>
      <c r="M93" s="44"/>
      <c r="N93" s="44"/>
      <c r="O93" s="44"/>
    </row>
    <row r="94" spans="1:15" x14ac:dyDescent="0.2">
      <c r="A94" s="44" t="s">
        <v>15</v>
      </c>
      <c r="B94" s="44">
        <v>3385</v>
      </c>
      <c r="C94" s="44">
        <v>5161</v>
      </c>
      <c r="D94" s="44">
        <v>95.95</v>
      </c>
      <c r="E94" s="44">
        <v>86.51</v>
      </c>
      <c r="F94" s="44">
        <v>95.14</v>
      </c>
      <c r="G94" s="44">
        <v>0</v>
      </c>
      <c r="H94" s="44">
        <v>117160</v>
      </c>
      <c r="I94" s="44">
        <v>0</v>
      </c>
      <c r="J94" s="44">
        <v>353</v>
      </c>
      <c r="K94" s="44"/>
      <c r="L94" s="44"/>
      <c r="M94" s="44"/>
      <c r="N94" s="44"/>
      <c r="O94" s="44"/>
    </row>
    <row r="95" spans="1:15" x14ac:dyDescent="0.2">
      <c r="A95" s="44" t="s">
        <v>518</v>
      </c>
      <c r="B95" s="44">
        <v>2700</v>
      </c>
      <c r="C95" s="44">
        <v>1317</v>
      </c>
      <c r="D95" s="44">
        <v>4017</v>
      </c>
      <c r="E95" s="44">
        <v>16.899999999999999</v>
      </c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">
      <c r="A96" s="44" t="s">
        <v>16</v>
      </c>
      <c r="B96" s="44">
        <v>9333</v>
      </c>
      <c r="C96" s="44">
        <v>2204</v>
      </c>
      <c r="D96" s="44">
        <v>6</v>
      </c>
      <c r="E96" s="44">
        <v>6647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1:15" x14ac:dyDescent="0.2">
      <c r="A97" s="44" t="s">
        <v>240</v>
      </c>
      <c r="B97" s="44">
        <v>53104</v>
      </c>
      <c r="C97" s="44">
        <v>7709</v>
      </c>
      <c r="D97" s="44">
        <v>2758</v>
      </c>
      <c r="E97" s="44">
        <v>11.1</v>
      </c>
      <c r="F97" s="44">
        <v>12</v>
      </c>
      <c r="G97" s="44">
        <v>4</v>
      </c>
      <c r="H97" s="44">
        <v>273</v>
      </c>
      <c r="I97" s="44">
        <v>262</v>
      </c>
      <c r="J97" s="44">
        <v>20.5</v>
      </c>
      <c r="K97" s="44"/>
      <c r="L97" s="44"/>
      <c r="M97" s="44"/>
      <c r="N97" s="44"/>
      <c r="O97" s="44"/>
    </row>
    <row r="98" spans="1:15" x14ac:dyDescent="0.2">
      <c r="A98" s="70">
        <v>911</v>
      </c>
      <c r="B98" s="44">
        <v>116332</v>
      </c>
      <c r="C98" s="44">
        <v>2.6</v>
      </c>
      <c r="D98" s="44">
        <v>0.98</v>
      </c>
      <c r="E98" s="44">
        <v>3.21</v>
      </c>
      <c r="F98" s="44">
        <v>4.3899999999999997</v>
      </c>
      <c r="G98" s="44"/>
      <c r="H98" s="44"/>
      <c r="I98" s="44"/>
      <c r="J98" s="44"/>
      <c r="K98" s="44"/>
      <c r="L98" s="44"/>
      <c r="M98" s="44"/>
      <c r="N98" s="44"/>
      <c r="O98" s="44"/>
    </row>
    <row r="99" spans="1:15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15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1:15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1:15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15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15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1:15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15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5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15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15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15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15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1:15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1:15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1:15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1:15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1:15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15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15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15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15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1:15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1:15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1:15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1:15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1:15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15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1:15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1:15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1:15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1:15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1:15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1:15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1:15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1:15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1:15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1:15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1:15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1:15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1:15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1:15" x14ac:dyDescent="0.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1:15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1:15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1:15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1:15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5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1:15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1:15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1:15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1:15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5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1:15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5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1:15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1:15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1:15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1:15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1:15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1:15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1:15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1:15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1:15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1:15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1:15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1:15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1:15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1:15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1:15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1:15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1:15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1:15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1:15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1:15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1:15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1:15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1:15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1:15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1:15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1:15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1:15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1:15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1:15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1:15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1:15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1:15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1:15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1:15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1:15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1:15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1:15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1:15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1:15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1:15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1:15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1:15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1:15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1:15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1:15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1:15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1:15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1:15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1:15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1:15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1:15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1:15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1:15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1:15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1:15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1:15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1:15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1:15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1:15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1:15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1:15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1:15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1:15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1:15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1:15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1:15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1:15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1:15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1:15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1:15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1:15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1:15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1:15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1:15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1:15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1:15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1:15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1:15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1:15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1:15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1:15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1:15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1:15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1:15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1:15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1:15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1:15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1:15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1:15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1:15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1:15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1:15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1:15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1:15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1:15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1:15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1:15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1:15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1:15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1:15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1:15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</sheetData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816811579834AB9CA42C02A0F304F" ma:contentTypeVersion="0" ma:contentTypeDescription="Create a new document." ma:contentTypeScope="" ma:versionID="48430e6cd6b1969a79009c2b7e42cfa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B002A8D-890E-43A8-BD6D-0CE9268F95AE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A5D339-E37B-4940-BD2F-E6F55C6CA6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49DD2-8014-44E9-BBAB-EA50E6998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Code Sheet</vt:lpstr>
      <vt:lpstr>SRT Data</vt:lpstr>
      <vt:lpstr>Report</vt:lpstr>
      <vt:lpstr>Efficiency Calculations</vt:lpstr>
      <vt:lpstr>Target Setting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alucas</dc:creator>
  <cp:lastModifiedBy>Andy Lucas</cp:lastModifiedBy>
  <cp:lastPrinted>2011-07-26T19:34:08Z</cp:lastPrinted>
  <dcterms:created xsi:type="dcterms:W3CDTF">2006-08-14T17:37:49Z</dcterms:created>
  <dcterms:modified xsi:type="dcterms:W3CDTF">2015-07-16T20:45:32Z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0x010100E84816811579834AB9CA42C02A0F304F</vt:lpwstr>
  </property>
</Properties>
</file>