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1355" windowHeight="8445" activeTab="2"/>
  </bookViews>
  <sheets>
    <sheet name="Code Sheet" sheetId="2" r:id="rId1"/>
    <sheet name="SRT Data" sheetId="3" r:id="rId2"/>
    <sheet name="Report" sheetId="1" r:id="rId3"/>
    <sheet name="Efficiency Calculations" sheetId="4" r:id="rId4"/>
  </sheets>
  <calcPr calcId="125725"/>
</workbook>
</file>

<file path=xl/calcChain.xml><?xml version="1.0" encoding="utf-8"?>
<calcChain xmlns="http://schemas.openxmlformats.org/spreadsheetml/2006/main">
  <c r="N38" i="4"/>
  <c r="N36"/>
  <c r="P23" i="1"/>
  <c r="P22"/>
  <c r="P21"/>
  <c r="P20"/>
  <c r="P19"/>
  <c r="P18"/>
  <c r="P16"/>
  <c r="P15"/>
  <c r="P17"/>
  <c r="P14"/>
  <c r="P13"/>
  <c r="P12"/>
  <c r="O21"/>
  <c r="O22"/>
  <c r="O11"/>
  <c r="P11"/>
  <c r="N30" i="4"/>
  <c r="N32"/>
  <c r="N20"/>
  <c r="F23" s="1"/>
  <c r="N19"/>
  <c r="F22" s="1"/>
  <c r="O8"/>
  <c r="B11" s="1"/>
  <c r="O7"/>
  <c r="B10" s="1"/>
  <c r="N7"/>
  <c r="N8"/>
  <c r="O23" i="1"/>
  <c r="O20"/>
  <c r="O19"/>
  <c r="O18"/>
  <c r="O17"/>
  <c r="O16"/>
  <c r="O15"/>
  <c r="O14"/>
  <c r="O13"/>
  <c r="O12"/>
  <c r="N23"/>
  <c r="N22"/>
  <c r="N21"/>
  <c r="N20"/>
  <c r="N19"/>
  <c r="N18"/>
  <c r="N17"/>
  <c r="N16"/>
  <c r="N15"/>
  <c r="N14"/>
  <c r="N13"/>
  <c r="N12"/>
  <c r="N11"/>
  <c r="M23"/>
  <c r="M22"/>
  <c r="M21"/>
  <c r="M20"/>
  <c r="M19"/>
  <c r="M18"/>
  <c r="M17"/>
  <c r="M16"/>
  <c r="M15"/>
  <c r="M14"/>
  <c r="M13"/>
  <c r="M12"/>
  <c r="M11"/>
  <c r="L23"/>
  <c r="L22"/>
  <c r="L21"/>
  <c r="L20"/>
  <c r="L19"/>
  <c r="L18"/>
  <c r="L17"/>
  <c r="L16"/>
  <c r="L15"/>
  <c r="L14"/>
  <c r="L13"/>
  <c r="L12"/>
  <c r="L11"/>
  <c r="K23"/>
  <c r="K22"/>
  <c r="K21"/>
  <c r="K20"/>
  <c r="K19"/>
  <c r="K18"/>
  <c r="K17"/>
  <c r="K16"/>
  <c r="K15"/>
  <c r="K14"/>
  <c r="K13"/>
  <c r="K12"/>
  <c r="K11"/>
  <c r="J23"/>
  <c r="J22"/>
  <c r="J21"/>
  <c r="J20"/>
  <c r="J19"/>
  <c r="J18"/>
  <c r="J17"/>
  <c r="J16"/>
  <c r="J15"/>
  <c r="J14"/>
  <c r="J13"/>
  <c r="J12"/>
  <c r="J11"/>
  <c r="I23"/>
  <c r="I22"/>
  <c r="I21"/>
  <c r="I20"/>
  <c r="I19"/>
  <c r="I18"/>
  <c r="I17"/>
  <c r="I16"/>
  <c r="I15"/>
  <c r="I14"/>
  <c r="I13"/>
  <c r="I12"/>
  <c r="I11"/>
  <c r="H23"/>
  <c r="H22"/>
  <c r="H21"/>
  <c r="H20"/>
  <c r="H19"/>
  <c r="H18"/>
  <c r="H17"/>
  <c r="H16"/>
  <c r="H15"/>
  <c r="H14"/>
  <c r="H13"/>
  <c r="H12"/>
  <c r="H11"/>
  <c r="G23"/>
  <c r="G22"/>
  <c r="G21"/>
  <c r="G20"/>
  <c r="G19"/>
  <c r="G18"/>
  <c r="G17"/>
  <c r="G16"/>
  <c r="G15"/>
  <c r="G14"/>
  <c r="G13"/>
  <c r="G12"/>
  <c r="G11"/>
  <c r="F23"/>
  <c r="F22"/>
  <c r="F21"/>
  <c r="F20"/>
  <c r="F19"/>
  <c r="F18"/>
  <c r="F17"/>
  <c r="F16"/>
  <c r="F15"/>
  <c r="F14"/>
  <c r="F13"/>
  <c r="F12"/>
  <c r="F11"/>
  <c r="E23"/>
  <c r="E22"/>
  <c r="E21"/>
  <c r="E20"/>
  <c r="E19"/>
  <c r="E18"/>
  <c r="E17"/>
  <c r="E16"/>
  <c r="E15"/>
  <c r="E14"/>
  <c r="E13"/>
  <c r="E12"/>
  <c r="E11"/>
  <c r="D23"/>
  <c r="R33" s="1"/>
  <c r="D22"/>
  <c r="R32" s="1"/>
  <c r="D21"/>
  <c r="R31" s="1"/>
  <c r="A5" i="2"/>
  <c r="A6" s="1"/>
  <c r="A7" s="1"/>
  <c r="A8" s="1"/>
  <c r="A9" s="1"/>
  <c r="A10" s="1"/>
  <c r="A11" s="1"/>
  <c r="A12" s="1"/>
  <c r="A13" s="1"/>
  <c r="A14" s="1"/>
  <c r="A15" s="1"/>
  <c r="A16" s="1"/>
  <c r="A17" s="1"/>
  <c r="A18" s="1"/>
  <c r="A23" s="1"/>
  <c r="A24" s="1"/>
  <c r="A25" s="1"/>
  <c r="A26" s="1"/>
  <c r="A27" s="1"/>
  <c r="A28" s="1"/>
  <c r="A29" s="1"/>
  <c r="A30" s="1"/>
  <c r="A31" s="1"/>
  <c r="A32" s="1"/>
  <c r="A33" s="1"/>
  <c r="D11" i="1"/>
  <c r="R21" s="1"/>
  <c r="D12"/>
  <c r="D13"/>
  <c r="R23" s="1"/>
  <c r="D14"/>
  <c r="R24" s="1"/>
  <c r="D15"/>
  <c r="R25" s="1"/>
  <c r="D16"/>
  <c r="R26" s="1"/>
  <c r="D17"/>
  <c r="R27" s="1"/>
  <c r="D18"/>
  <c r="R28" s="1"/>
  <c r="D19"/>
  <c r="R29" s="1"/>
  <c r="D20"/>
  <c r="R30" s="1"/>
  <c r="R22" l="1"/>
  <c r="T21"/>
  <c r="T22"/>
  <c r="O37" i="4"/>
  <c r="Q16" i="1"/>
  <c r="Q22" s="1"/>
  <c r="Q12"/>
  <c r="Q18" s="1"/>
  <c r="Q14"/>
  <c r="Q20" s="1"/>
  <c r="Q15"/>
  <c r="Q21" s="1"/>
  <c r="Q13"/>
  <c r="Q19" s="1"/>
  <c r="Q11"/>
  <c r="Q17" s="1"/>
  <c r="Q23" s="1"/>
  <c r="O31" i="4"/>
  <c r="F24"/>
  <c r="A11" i="1" l="1"/>
  <c r="B6"/>
  <c r="A18"/>
  <c r="A17"/>
  <c r="A20"/>
  <c r="A21"/>
  <c r="A23"/>
  <c r="A22"/>
  <c r="A14" l="1"/>
  <c r="A13"/>
  <c r="A12"/>
  <c r="A16"/>
  <c r="A15"/>
  <c r="A19"/>
</calcChain>
</file>

<file path=xl/comments1.xml><?xml version="1.0" encoding="utf-8"?>
<comments xmlns="http://schemas.openxmlformats.org/spreadsheetml/2006/main">
  <authors>
    <author>alucas</author>
  </authors>
  <commentList>
    <comment ref="Q5" authorId="0">
      <text>
        <r>
          <rPr>
            <b/>
            <sz val="8"/>
            <color indexed="81"/>
            <rFont val="Tahoma"/>
          </rPr>
          <t xml:space="preserve">Stanly County:
</t>
        </r>
        <r>
          <rPr>
            <sz val="8"/>
            <color indexed="81"/>
            <rFont val="Tahoma"/>
          </rPr>
          <t xml:space="preserve">
1  Agri-Civic Center
2  Airport
3  Animal Control
4  Board of Elections
5  Cooperative Extension
6  Criminal Justice Partnership 
7  Economic Development
8  Emergency Management/Safety
9  EMS
10  Environmental Health
11  Facilities Maintenance
12  Health Department
13  Historic Properties
14  Inspections
15  IT
16  Jail
17  Library
18  Pretrial Release Program
19  Planning
20  Register of Deeds
21  Road Naming
22  SCUSA
23  Sheriff's Office
24  Senior Services
25  Social Services
26  Soil &amp; Water Conservation
27 Tax Assessor
28  Tax Collector
29  Veteran Services 
30  Volunteer Fire
31  Utilities
32  911
33  Cooperative Ext. - 2010
</t>
        </r>
      </text>
    </comment>
  </commentList>
</comments>
</file>

<file path=xl/sharedStrings.xml><?xml version="1.0" encoding="utf-8"?>
<sst xmlns="http://schemas.openxmlformats.org/spreadsheetml/2006/main" count="578" uniqueCount="514">
  <si>
    <t>Monthly Performance Report</t>
  </si>
  <si>
    <t>Department</t>
  </si>
  <si>
    <t>Performance Measures</t>
  </si>
  <si>
    <t>Code</t>
  </si>
  <si>
    <t>Airport</t>
  </si>
  <si>
    <t>Board of Elections</t>
  </si>
  <si>
    <t>Cooperative Extension</t>
  </si>
  <si>
    <t xml:space="preserve">Criminal Justice Partnership </t>
  </si>
  <si>
    <t>Economic Development</t>
  </si>
  <si>
    <t>Health Department</t>
  </si>
  <si>
    <t>Jail</t>
  </si>
  <si>
    <t>Library</t>
  </si>
  <si>
    <t>Register of Deeds</t>
  </si>
  <si>
    <t>Sheriff's Office</t>
  </si>
  <si>
    <t>Social Services</t>
  </si>
  <si>
    <t>Soil Conservation</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</si>
  <si>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</si>
  <si>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</si>
  <si>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</si>
  <si>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</si>
  <si>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</si>
  <si>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</si>
  <si>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</si>
  <si>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</si>
  <si>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</si>
  <si>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</si>
  <si>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</si>
  <si>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</si>
  <si>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</si>
  <si>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</si>
  <si>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</si>
  <si>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</si>
  <si>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</si>
  <si>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</si>
  <si>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</si>
  <si>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</si>
  <si>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</si>
  <si>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</si>
  <si>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</si>
  <si>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</si>
  <si>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</si>
  <si>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</si>
  <si>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</si>
  <si>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</si>
  <si>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</si>
  <si>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</si>
  <si>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</si>
  <si>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</si>
  <si>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</si>
  <si>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</si>
  <si>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</si>
  <si>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New STD cases reported</t>
  </si>
  <si>
    <t># Cost share applications received</t>
  </si>
  <si>
    <t># EQIP applications received</t>
  </si>
  <si>
    <t># Work orders</t>
  </si>
  <si>
    <t># Active projects</t>
  </si>
  <si>
    <t># Calls to existing businesses</t>
  </si>
  <si>
    <t># New clients</t>
  </si>
  <si>
    <t>% Registered voters voting</t>
  </si>
  <si>
    <t>$ Cost per meal served</t>
  </si>
  <si>
    <t>% Reoccurence of maltreatment</t>
  </si>
  <si>
    <t># New HIV/AIDS cases reported</t>
  </si>
  <si>
    <t># Materials circulated main library</t>
  </si>
  <si>
    <t># Computer users</t>
  </si>
  <si>
    <t># Monthly patrons</t>
  </si>
  <si>
    <t># Tons soil saved</t>
  </si>
  <si>
    <t># Vital records issued</t>
  </si>
  <si>
    <t># Copies purchased</t>
  </si>
  <si>
    <t>% TANF processing rate</t>
  </si>
  <si>
    <t>% FAC Medicaid processing rate</t>
  </si>
  <si>
    <t>% Adult Medicaid processing rate</t>
  </si>
  <si>
    <t>% Food stamp processing accuracy rate</t>
  </si>
  <si>
    <t># CAD calls generated per staff hour</t>
  </si>
  <si>
    <t># Total CAD generated calls answered</t>
  </si>
  <si>
    <t>Road Naming</t>
  </si>
  <si>
    <t>Avg. total call time (min.)</t>
  </si>
  <si>
    <t>Avg. response time (min.)</t>
  </si>
  <si>
    <t>% Real property tax levy collected</t>
  </si>
  <si>
    <t>% Vehicle tax levy collected</t>
  </si>
  <si>
    <t>% Mainframe availability</t>
  </si>
  <si>
    <t>% Server availability</t>
  </si>
  <si>
    <t># Children daycare waiting list</t>
  </si>
  <si>
    <t>Unemployment rate (lag measure)</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</si>
  <si>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</si>
  <si>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</si>
  <si>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</si>
  <si>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</si>
  <si>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</si>
  <si>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</si>
  <si>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</si>
  <si>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</si>
  <si>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</si>
  <si>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</si>
  <si>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</si>
  <si>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</si>
  <si>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</si>
  <si>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</si>
  <si>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</si>
  <si>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</si>
  <si>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New jobs (county involved w/project)</t>
  </si>
  <si>
    <t>$ Cost per passenger</t>
  </si>
  <si>
    <t>$ Cost per vehicle mile</t>
  </si>
  <si>
    <t># Inmates booked per day</t>
  </si>
  <si>
    <t># Active garnishments</t>
  </si>
  <si>
    <t># Active bank attachments</t>
  </si>
  <si>
    <t>July</t>
  </si>
  <si>
    <t>Aug</t>
  </si>
  <si>
    <t>Sept</t>
  </si>
  <si>
    <t>rjl1</t>
  </si>
  <si>
    <t>rjl2</t>
  </si>
  <si>
    <t>rjl3</t>
  </si>
  <si>
    <t>rjl4</t>
  </si>
  <si>
    <t>rjl5</t>
  </si>
  <si>
    <t>rjl6</t>
  </si>
  <si>
    <t>rjl7</t>
  </si>
  <si>
    <t>rjl8</t>
  </si>
  <si>
    <t>rjl9</t>
  </si>
  <si>
    <t>rjl10</t>
  </si>
  <si>
    <t># Avg. calls for service per day</t>
  </si>
  <si>
    <t># Avg. work orders per day</t>
  </si>
  <si>
    <t>% Response rate for medical calls</t>
  </si>
  <si>
    <t># Medical calls - first responders</t>
  </si>
  <si>
    <t># Fire calls</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</si>
  <si>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</si>
  <si>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</si>
  <si>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</si>
  <si>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</si>
  <si>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</si>
  <si>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</si>
  <si>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</si>
  <si>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</si>
  <si>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</si>
  <si>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</si>
  <si>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</si>
  <si>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</si>
  <si>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</si>
  <si>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</si>
  <si>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</si>
  <si>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</si>
  <si>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</si>
  <si>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</si>
  <si>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</si>
  <si>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</si>
  <si>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</si>
  <si>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</si>
  <si>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</si>
  <si>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</si>
  <si>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</si>
  <si>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 Clients terminated (successful)</t>
  </si>
  <si>
    <t># Clients terminated (unsuccessful)</t>
  </si>
  <si>
    <t># Garnishments executed</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</si>
  <si>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</si>
  <si>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</si>
  <si>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</si>
  <si>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</si>
  <si>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</si>
  <si>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</si>
  <si>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</si>
  <si>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</si>
  <si>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</si>
  <si>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</si>
  <si>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</si>
  <si>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</si>
  <si>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</si>
  <si>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</si>
  <si>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</si>
  <si>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</si>
  <si>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</si>
  <si>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</si>
  <si>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</si>
  <si>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</si>
  <si>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</si>
  <si>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</si>
  <si>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</si>
  <si>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</si>
  <si>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</si>
  <si>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</si>
  <si>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</si>
  <si>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</si>
  <si>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</si>
  <si>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</si>
  <si>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</si>
  <si>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</si>
  <si>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</si>
  <si>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</si>
  <si>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</si>
  <si>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</si>
  <si>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</si>
  <si>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</si>
  <si>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</si>
  <si>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</si>
  <si>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</si>
  <si>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</si>
  <si>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</si>
  <si>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</si>
  <si>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</si>
  <si>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</si>
  <si>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</si>
  <si>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</si>
  <si>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</si>
  <si>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</si>
  <si>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</si>
  <si>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</si>
  <si>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</si>
  <si>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</si>
  <si>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</si>
  <si>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</si>
  <si>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</si>
  <si>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</si>
  <si>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</si>
  <si>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</si>
  <si>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</si>
  <si>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</si>
  <si>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Total VA clients served</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</si>
  <si>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</si>
  <si>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</si>
  <si>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</si>
  <si>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</si>
  <si>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</si>
  <si>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</si>
  <si>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</si>
  <si>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</si>
  <si>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</si>
  <si>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</si>
  <si>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</si>
  <si>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</si>
  <si>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</si>
  <si>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</si>
  <si>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</si>
  <si>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</si>
  <si>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</si>
  <si>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</si>
  <si>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</si>
  <si>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</si>
  <si>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</si>
  <si>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</si>
  <si>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</si>
  <si>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</si>
  <si>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</si>
  <si>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</si>
  <si>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</si>
  <si>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</si>
  <si>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</si>
  <si>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</si>
  <si>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</si>
  <si>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</si>
  <si>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</si>
  <si>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</si>
  <si>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</si>
  <si>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</si>
  <si>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</si>
  <si>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</si>
  <si>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</si>
  <si>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</si>
  <si>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</si>
  <si>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</si>
  <si>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Historic Properties</t>
  </si>
  <si>
    <t>Planning/Zoning</t>
  </si>
  <si>
    <t>Utilities</t>
  </si>
  <si>
    <t>SCUSA</t>
  </si>
  <si>
    <t>Emergency Management/Safety</t>
  </si>
  <si>
    <t>Animal Control</t>
  </si>
  <si>
    <t># Rabies cases</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</si>
  <si>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</si>
  <si>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</si>
  <si>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</si>
  <si>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</si>
  <si>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</si>
  <si>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</si>
  <si>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</si>
  <si>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</si>
  <si>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</si>
  <si>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</si>
  <si>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</si>
  <si>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</si>
  <si>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</si>
  <si>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</si>
  <si>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</si>
  <si>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</si>
  <si>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Visitors (general visitation)</t>
  </si>
  <si>
    <t># Research requests</t>
  </si>
  <si>
    <t># Public outreach programs</t>
  </si>
  <si>
    <t># Property designations</t>
  </si>
  <si>
    <t># School based tours</t>
  </si>
  <si>
    <t># Total calls for County</t>
  </si>
  <si>
    <t xml:space="preserve"># Plan reviews for fire code </t>
  </si>
  <si>
    <t># EM/Fire Investigation response</t>
  </si>
  <si>
    <t># Property damage claims</t>
  </si>
  <si>
    <t># Clients served (In Home Services)</t>
  </si>
  <si>
    <t># Clients served (Information &amp; Referral)</t>
  </si>
  <si>
    <t># Clients served (Meal Program)</t>
  </si>
  <si>
    <t># Clients served (Transportation)</t>
  </si>
  <si>
    <t># Clients served-duplicated count (Center Activities)</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</si>
  <si>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</si>
  <si>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</si>
  <si>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</si>
  <si>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</si>
  <si>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</si>
  <si>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</si>
  <si>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</si>
  <si>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</si>
  <si>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</si>
  <si>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</si>
  <si>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</si>
  <si>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</si>
  <si>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</si>
  <si>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</si>
  <si>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</si>
  <si>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</si>
  <si>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</si>
  <si>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</si>
  <si>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</si>
  <si>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</si>
  <si>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</si>
  <si>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</si>
  <si>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</si>
  <si>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</si>
  <si>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</si>
  <si>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</si>
  <si>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</si>
  <si>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</si>
  <si>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</si>
  <si>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</si>
  <si>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</si>
  <si>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</si>
  <si>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</si>
  <si>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</si>
  <si>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</si>
  <si>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</si>
  <si>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</si>
  <si>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</si>
  <si>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</si>
  <si>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</si>
  <si>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</si>
  <si>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</si>
  <si>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</si>
  <si>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</si>
  <si>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</si>
  <si>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</si>
  <si>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</si>
  <si>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</si>
  <si>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</si>
  <si>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</si>
  <si>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</si>
  <si>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</si>
  <si>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</si>
  <si>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</si>
  <si>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</si>
  <si>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</si>
  <si>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</si>
  <si>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</si>
  <si>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</si>
  <si>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</si>
  <si>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</si>
  <si>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</si>
  <si>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</si>
  <si>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</si>
  <si>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</si>
  <si>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</si>
  <si>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</si>
  <si>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</si>
  <si>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</si>
  <si>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</si>
  <si>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</si>
  <si>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</si>
  <si>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</si>
  <si>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</si>
  <si>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</si>
  <si>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</si>
  <si>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</si>
  <si>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index crime incidents</t>
  </si>
  <si>
    <t># Clients served by phone or written correspondence</t>
  </si>
  <si>
    <t># Pesticide applicators earning continuing educ. credits</t>
  </si>
  <si>
    <t># Referred to substance abuse treatment</t>
  </si>
  <si>
    <t xml:space="preserve"># Offender contacts </t>
  </si>
  <si>
    <t>% Re-arrested/new charges pending while in program</t>
  </si>
  <si>
    <t>Total # of clients served during quarter</t>
  </si>
  <si>
    <t>$ Total construction value (millions)</t>
  </si>
  <si>
    <t># Phosphorus waste reduced (pounds)</t>
  </si>
  <si>
    <t># Nitrogen waste reduced (pounds)</t>
  </si>
  <si>
    <t>Avg. response time -1st engine (minutes)</t>
  </si>
  <si>
    <t># Claims approved</t>
  </si>
  <si>
    <t>$ Back payments for claims approved</t>
  </si>
  <si>
    <t>$ Monthly payments for claims approved</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</si>
  <si>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</si>
  <si>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</si>
  <si>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</si>
  <si>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</si>
  <si>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</si>
  <si>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</si>
  <si>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</si>
  <si>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</si>
  <si>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</si>
  <si>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</si>
  <si>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</si>
  <si>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</si>
  <si>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</si>
  <si>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</si>
  <si>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</si>
  <si>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</si>
  <si>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</si>
  <si>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</si>
  <si>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</si>
  <si>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</si>
  <si>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</si>
  <si>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</si>
  <si>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</si>
  <si>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</si>
  <si>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M-41</t>
  </si>
  <si>
    <t>% Work First participation rate</t>
  </si>
  <si>
    <t># Livestock producers reporting inc. knowledge</t>
  </si>
  <si>
    <t># Livestock producers reporting inc. earnings/savings</t>
  </si>
  <si>
    <t># Field crop growers reporting inc. knowledge</t>
  </si>
  <si>
    <t># Field crop growers reporting inc. earnings/savings</t>
  </si>
  <si>
    <t># Horticulture participants reporting inc. knowledge</t>
  </si>
  <si>
    <t># Non face-to-face contacts</t>
  </si>
  <si>
    <t># Citizens reporting inc. knowledge of farm preservation</t>
  </si>
  <si>
    <t># Nutrition participants reporting inc. knowledge</t>
  </si>
  <si>
    <t># Life skills participants reporting inc. knowledge</t>
  </si>
  <si>
    <t># Participants reporting adoption of learned life skills</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</si>
  <si>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</si>
  <si>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</si>
  <si>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</si>
  <si>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</si>
  <si>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</si>
  <si>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</si>
  <si>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</si>
  <si>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</si>
  <si>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</si>
  <si>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</si>
  <si>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</si>
  <si>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</si>
  <si>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</si>
  <si>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</si>
  <si>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</si>
  <si>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</si>
  <si>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Hours school age education</t>
  </si>
  <si>
    <t># Total (district) stand-by</t>
  </si>
  <si>
    <t># Total deeds of trust indexed</t>
  </si>
  <si>
    <t># Total deeds indexed</t>
  </si>
  <si>
    <t># Field work orders processed per day</t>
  </si>
  <si>
    <t># Average visitors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</si>
  <si>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</si>
  <si>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</si>
  <si>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</si>
  <si>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</si>
  <si>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</si>
  <si>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</si>
  <si>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</si>
  <si>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</si>
  <si>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</si>
  <si>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</si>
  <si>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</si>
  <si>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</si>
  <si>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</si>
  <si>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</si>
  <si>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 General public tours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</si>
  <si>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</si>
  <si>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</si>
  <si>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</si>
  <si>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</si>
  <si>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</si>
  <si>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</si>
  <si>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</si>
  <si>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</si>
  <si>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</si>
  <si>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Pretrial Release Program</t>
  </si>
  <si>
    <t xml:space="preserve"># Assessed or interviewed </t>
  </si>
  <si>
    <t># Accepted into program</t>
  </si>
  <si>
    <t># Sucessfully terminated from program</t>
  </si>
  <si>
    <t># Total bed days avoided</t>
  </si>
  <si>
    <t xml:space="preserve"># Rearrested </t>
  </si>
  <si>
    <t># Failing to appear</t>
  </si>
  <si>
    <t>Assessment to sales ratio (real property)</t>
  </si>
  <si>
    <t># Hours spent at jail facility</t>
  </si>
  <si>
    <t>FY 09</t>
  </si>
  <si>
    <t>% of FY 09</t>
  </si>
  <si>
    <t>FY 091</t>
  </si>
  <si>
    <t>FY 092</t>
  </si>
  <si>
    <t>FY 093</t>
  </si>
  <si>
    <t>FY 094</t>
  </si>
  <si>
    <t>FY 095</t>
  </si>
  <si>
    <t>FY 096</t>
  </si>
  <si>
    <t>FY 097</t>
  </si>
  <si>
    <t>FY 098</t>
  </si>
  <si>
    <t>FY 099</t>
  </si>
  <si>
    <t>FY 0910</t>
  </si>
  <si>
    <t>FY 0911</t>
  </si>
  <si>
    <t>FY 0912</t>
  </si>
  <si>
    <t>FY 0913</t>
  </si>
  <si>
    <t>$ Transfer stamp fees</t>
  </si>
  <si>
    <t>Pretrial</t>
  </si>
  <si>
    <t>Approved</t>
  </si>
  <si>
    <t>rearrested</t>
  </si>
  <si>
    <t>% Rearrested</t>
  </si>
  <si>
    <t># Home health total admissions</t>
  </si>
  <si>
    <t xml:space="preserve"># Maintained or obtained employment </t>
  </si>
  <si>
    <t>$ NC debt set-off revenue</t>
  </si>
  <si>
    <t># Farmers inc. knowledge in sustainable agriculture</t>
  </si>
  <si>
    <t># Farmers adopting practices in sustainable ag</t>
  </si>
  <si>
    <t xml:space="preserve"># Participants inc. local food sales </t>
  </si>
  <si>
    <t># Participants inc. local food consumption</t>
  </si>
  <si>
    <t># Participants adopting safe food practices</t>
  </si>
  <si>
    <t># Participants inc. leadership skills</t>
  </si>
  <si>
    <t># Participants inc. life skills knowledge</t>
  </si>
  <si>
    <t># Participants adopting life skills</t>
  </si>
  <si>
    <t># Participants inc. knowledge in plant production</t>
  </si>
  <si>
    <t># Participants inc. knowledge in healthy food choices</t>
  </si>
  <si>
    <t># Work orders received</t>
  </si>
  <si>
    <t>$ In Rem foreclosures</t>
  </si>
  <si>
    <t>$ Escheat</t>
  </si>
  <si>
    <t>% Total levy collected</t>
  </si>
  <si>
    <t># Lost time worker's comp claims</t>
  </si>
  <si>
    <t># Total days lost time for worker's comp</t>
  </si>
</sst>
</file>

<file path=xl/styles.xml><?xml version="1.0" encoding="utf-8"?>
<styleSheet xmlns="http://schemas.openxmlformats.org/spreadsheetml/2006/main">
  <numFmts count="2">
    <numFmt numFmtId="164" formatCode="0.000"/>
    <numFmt numFmtId="165" formatCode="0.0%"/>
  </numFmts>
  <fonts count="21">
    <font>
      <sz val="10"/>
      <name val="Arial"/>
    </font>
    <font>
      <b/>
      <sz val="10"/>
      <name val="Arial"/>
      <family val="2"/>
    </font>
    <font>
      <sz val="10"/>
      <name val="Times New Roman"/>
      <family val="1"/>
    </font>
    <font>
      <b/>
      <sz val="10"/>
      <name val="Times New Roman"/>
      <family val="1"/>
    </font>
    <font>
      <b/>
      <sz val="18"/>
      <name val="Times New Roman"/>
      <family val="1"/>
    </font>
    <font>
      <b/>
      <sz val="14"/>
      <name val="Times New Roman"/>
      <family val="1"/>
    </font>
    <font>
      <b/>
      <sz val="12"/>
      <name val="Times New Roman"/>
      <family val="1"/>
    </font>
    <font>
      <sz val="8"/>
      <color indexed="81"/>
      <name val="Tahoma"/>
    </font>
    <font>
      <b/>
      <sz val="8"/>
      <color indexed="81"/>
      <name val="Tahoma"/>
    </font>
    <font>
      <sz val="8"/>
      <color indexed="17"/>
      <name val="Times New Roman"/>
      <family val="1"/>
    </font>
    <font>
      <sz val="8"/>
      <color indexed="12"/>
      <name val="Times New Roman"/>
      <family val="1"/>
    </font>
    <font>
      <sz val="8"/>
      <color indexed="20"/>
      <name val="Times New Roman"/>
      <family val="1"/>
    </font>
    <font>
      <sz val="8"/>
      <name val="Arial"/>
    </font>
    <font>
      <sz val="14"/>
      <name val="Times New Roman"/>
      <family val="1"/>
    </font>
    <font>
      <sz val="8"/>
      <name val="Times New Roman"/>
      <family val="1"/>
    </font>
    <font>
      <sz val="10"/>
      <name val="Arial"/>
      <family val="2"/>
    </font>
    <font>
      <b/>
      <sz val="11"/>
      <name val="Times New Roman"/>
      <family val="1"/>
    </font>
    <font>
      <sz val="11"/>
      <name val="Times New Roman"/>
      <family val="1"/>
    </font>
    <font>
      <sz val="9"/>
      <name val="Times New Roman"/>
      <family val="1"/>
    </font>
    <font>
      <sz val="8"/>
      <color rgb="FF00B050"/>
      <name val="Times New Roman"/>
      <family val="1"/>
    </font>
    <font>
      <sz val="8"/>
      <color rgb="FF0000FF"/>
      <name val="Times New Roman"/>
      <family val="1"/>
    </font>
  </fonts>
  <fills count="9">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s>
  <cellStyleXfs count="1">
    <xf numFmtId="0" fontId="0" fillId="0" borderId="0"/>
  </cellStyleXfs>
  <cellXfs count="85">
    <xf numFmtId="0" fontId="0" fillId="0" borderId="0" xfId="0"/>
    <xf numFmtId="0" fontId="2" fillId="0" borderId="0" xfId="0" applyFont="1" applyAlignment="1">
      <alignment vertical="top"/>
    </xf>
    <xf numFmtId="0" fontId="2" fillId="2" borderId="0" xfId="0" applyFont="1" applyFill="1" applyAlignment="1">
      <alignment vertical="top"/>
    </xf>
    <xf numFmtId="0" fontId="4" fillId="3" borderId="0" xfId="0" applyFont="1" applyFill="1" applyAlignment="1">
      <alignment vertical="top"/>
    </xf>
    <xf numFmtId="0" fontId="2" fillId="3" borderId="0" xfId="0" applyFont="1" applyFill="1" applyAlignment="1">
      <alignment vertical="top"/>
    </xf>
    <xf numFmtId="0" fontId="5" fillId="3" borderId="0" xfId="0" applyFont="1" applyFill="1" applyAlignment="1">
      <alignment vertical="top"/>
    </xf>
    <xf numFmtId="0" fontId="6" fillId="3" borderId="0" xfId="0" applyFont="1" applyFill="1" applyAlignment="1">
      <alignment vertical="top"/>
    </xf>
    <xf numFmtId="0" fontId="6" fillId="3" borderId="1" xfId="0" applyFont="1" applyFill="1" applyBorder="1" applyAlignment="1">
      <alignment vertical="top"/>
    </xf>
    <xf numFmtId="0" fontId="3" fillId="3" borderId="2" xfId="0" applyFont="1" applyFill="1" applyBorder="1" applyAlignment="1">
      <alignment vertical="top"/>
    </xf>
    <xf numFmtId="0" fontId="2" fillId="3" borderId="2" xfId="0" applyFont="1" applyFill="1" applyBorder="1" applyAlignment="1">
      <alignment vertical="top"/>
    </xf>
    <xf numFmtId="0" fontId="1" fillId="5" borderId="0" xfId="0" applyFont="1" applyFill="1"/>
    <xf numFmtId="0" fontId="2" fillId="0" borderId="0" xfId="0" applyFont="1" applyFill="1" applyAlignment="1">
      <alignment vertical="top"/>
    </xf>
    <xf numFmtId="0" fontId="13" fillId="5" borderId="0" xfId="0" applyFont="1" applyFill="1" applyAlignment="1">
      <alignment vertical="top"/>
    </xf>
    <xf numFmtId="0" fontId="3" fillId="3" borderId="0" xfId="0" applyFont="1" applyFill="1" applyAlignment="1">
      <alignment horizontal="center" vertical="top"/>
    </xf>
    <xf numFmtId="0" fontId="2" fillId="3" borderId="3" xfId="0" applyFont="1" applyFill="1" applyBorder="1" applyAlignment="1">
      <alignment vertical="top"/>
    </xf>
    <xf numFmtId="0" fontId="1" fillId="5" borderId="0" xfId="0" applyFont="1" applyFill="1" applyAlignment="1">
      <alignment horizontal="center"/>
    </xf>
    <xf numFmtId="0" fontId="2" fillId="0" borderId="5" xfId="0" applyFont="1" applyBorder="1" applyAlignment="1">
      <alignment horizontal="left"/>
    </xf>
    <xf numFmtId="0" fontId="2" fillId="0" borderId="5" xfId="0" applyFont="1" applyFill="1" applyBorder="1" applyAlignment="1">
      <alignment horizontal="left"/>
    </xf>
    <xf numFmtId="0" fontId="0" fillId="0" borderId="0" xfId="0" applyFill="1"/>
    <xf numFmtId="0" fontId="0" fillId="0" borderId="0" xfId="0" applyFill="1" applyBorder="1"/>
    <xf numFmtId="0" fontId="2" fillId="4" borderId="6" xfId="0" applyFont="1" applyFill="1" applyBorder="1" applyAlignment="1" applyProtection="1">
      <alignment vertical="top"/>
      <protection locked="0"/>
    </xf>
    <xf numFmtId="0" fontId="1" fillId="0" borderId="0" xfId="0" applyFont="1"/>
    <xf numFmtId="0" fontId="0" fillId="0" borderId="0" xfId="0" applyAlignment="1">
      <alignment horizontal="center"/>
    </xf>
    <xf numFmtId="0" fontId="15"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5" fillId="0" borderId="0" xfId="0" applyFont="1" applyAlignment="1">
      <alignment horizontal="center"/>
    </xf>
    <xf numFmtId="0" fontId="1" fillId="0" borderId="0" xfId="0" applyFont="1" applyAlignment="1">
      <alignment horizontal="center"/>
    </xf>
    <xf numFmtId="0" fontId="16" fillId="5" borderId="7" xfId="0" applyFont="1" applyFill="1" applyBorder="1" applyAlignment="1">
      <alignment horizontal="center" vertical="top"/>
    </xf>
    <xf numFmtId="0" fontId="3" fillId="3" borderId="0" xfId="0" applyNumberFormat="1" applyFont="1" applyFill="1" applyBorder="1" applyAlignment="1" applyProtection="1">
      <alignment horizontal="center" vertical="top"/>
      <protection locked="0"/>
    </xf>
    <xf numFmtId="0" fontId="3" fillId="3" borderId="9" xfId="0" applyNumberFormat="1" applyFont="1" applyFill="1" applyBorder="1" applyAlignment="1" applyProtection="1">
      <alignment horizontal="center" vertical="top"/>
      <protection locked="0"/>
    </xf>
    <xf numFmtId="0" fontId="17" fillId="3" borderId="10" xfId="0" applyFont="1" applyFill="1" applyBorder="1" applyAlignment="1">
      <alignment vertical="top"/>
    </xf>
    <xf numFmtId="0" fontId="17" fillId="3" borderId="0" xfId="0" applyFont="1" applyFill="1" applyBorder="1" applyAlignment="1">
      <alignment vertical="top"/>
    </xf>
    <xf numFmtId="0" fontId="2" fillId="0" borderId="3" xfId="0" applyFont="1" applyBorder="1" applyAlignment="1">
      <alignment vertical="top"/>
    </xf>
    <xf numFmtId="164" fontId="0" fillId="0" borderId="0" xfId="0" applyNumberFormat="1" applyAlignment="1">
      <alignment horizontal="center"/>
    </xf>
    <xf numFmtId="2" fontId="0" fillId="0" borderId="0" xfId="0" applyNumberFormat="1" applyAlignment="1">
      <alignment horizontal="center"/>
    </xf>
    <xf numFmtId="0" fontId="15" fillId="0" borderId="0" xfId="0" applyFont="1" applyFill="1" applyAlignment="1">
      <alignment horizontal="center"/>
    </xf>
    <xf numFmtId="0" fontId="19" fillId="0" borderId="0" xfId="0" applyFont="1" applyFill="1"/>
    <xf numFmtId="0" fontId="9" fillId="0" borderId="0" xfId="0" applyFont="1" applyFill="1" applyBorder="1"/>
    <xf numFmtId="0" fontId="19" fillId="0" borderId="0" xfId="0" applyFont="1"/>
    <xf numFmtId="0" fontId="10" fillId="0" borderId="0" xfId="0" applyFont="1" applyFill="1" applyBorder="1"/>
    <xf numFmtId="0" fontId="10" fillId="0" borderId="0" xfId="0" applyFont="1" applyFill="1" applyBorder="1" applyAlignment="1">
      <alignment horizontal="left"/>
    </xf>
    <xf numFmtId="0" fontId="15" fillId="0" borderId="0" xfId="0" applyFont="1" applyFill="1" applyBorder="1"/>
    <xf numFmtId="0" fontId="15" fillId="0" borderId="0" xfId="0" applyFont="1" applyFill="1" applyAlignment="1">
      <alignment horizontal="left"/>
    </xf>
    <xf numFmtId="0" fontId="11" fillId="0" borderId="0" xfId="0" applyFont="1" applyFill="1" applyBorder="1"/>
    <xf numFmtId="0" fontId="14" fillId="0" borderId="0" xfId="0" applyFont="1" applyFill="1" applyBorder="1"/>
    <xf numFmtId="0" fontId="15" fillId="0" borderId="0" xfId="0" applyFont="1" applyFill="1"/>
    <xf numFmtId="0" fontId="18" fillId="0" borderId="0" xfId="0" applyFont="1"/>
    <xf numFmtId="0" fontId="18" fillId="0" borderId="0" xfId="0" applyFont="1" applyFill="1"/>
    <xf numFmtId="0" fontId="18" fillId="0" borderId="0" xfId="0" applyFont="1" applyFill="1" applyBorder="1"/>
    <xf numFmtId="0" fontId="18" fillId="0" borderId="0" xfId="0" applyFont="1" applyFill="1" applyBorder="1" applyAlignment="1">
      <alignment horizontal="left"/>
    </xf>
    <xf numFmtId="0" fontId="18" fillId="0" borderId="0" xfId="0" applyFont="1" applyBorder="1"/>
    <xf numFmtId="0" fontId="0" fillId="0" borderId="0" xfId="0" applyFont="1" applyFill="1"/>
    <xf numFmtId="3" fontId="0" fillId="0" borderId="0" xfId="0" applyNumberFormat="1"/>
    <xf numFmtId="3" fontId="1" fillId="0" borderId="0" xfId="0" applyNumberFormat="1" applyFont="1"/>
    <xf numFmtId="165" fontId="0" fillId="0" borderId="0" xfId="0" applyNumberFormat="1"/>
    <xf numFmtId="0" fontId="0" fillId="0" borderId="0" xfId="0" applyFont="1" applyAlignment="1">
      <alignment horizontal="center"/>
    </xf>
    <xf numFmtId="0" fontId="20" fillId="0" borderId="0" xfId="0" applyFont="1" applyFill="1" applyBorder="1"/>
    <xf numFmtId="0" fontId="0" fillId="0" borderId="0" xfId="0" applyFont="1" applyFill="1" applyBorder="1"/>
    <xf numFmtId="0" fontId="2" fillId="6" borderId="0" xfId="0" applyFont="1" applyFill="1" applyAlignment="1">
      <alignment vertical="top"/>
    </xf>
    <xf numFmtId="0" fontId="2" fillId="6" borderId="3" xfId="0" applyFont="1" applyFill="1" applyBorder="1" applyAlignment="1">
      <alignment vertical="top"/>
    </xf>
    <xf numFmtId="0" fontId="2" fillId="6" borderId="4" xfId="0" applyFont="1" applyFill="1" applyBorder="1" applyAlignment="1">
      <alignment vertical="top"/>
    </xf>
    <xf numFmtId="0" fontId="16" fillId="7" borderId="7" xfId="0" applyFont="1" applyFill="1" applyBorder="1" applyAlignment="1">
      <alignment horizontal="center" vertical="top"/>
    </xf>
    <xf numFmtId="0" fontId="16" fillId="7" borderId="8" xfId="0" applyFont="1" applyFill="1" applyBorder="1" applyAlignment="1">
      <alignment horizontal="center" vertical="top"/>
    </xf>
    <xf numFmtId="0" fontId="3" fillId="6" borderId="0" xfId="0" applyFont="1" applyFill="1" applyBorder="1" applyAlignment="1">
      <alignment horizontal="center" vertical="top"/>
    </xf>
    <xf numFmtId="0" fontId="3" fillId="6" borderId="9" xfId="0" applyFont="1" applyFill="1" applyBorder="1" applyAlignment="1">
      <alignment horizontal="center" vertical="top"/>
    </xf>
    <xf numFmtId="9" fontId="3" fillId="6" borderId="11" xfId="0" applyNumberFormat="1" applyFont="1" applyFill="1" applyBorder="1" applyAlignment="1">
      <alignment horizontal="center" vertical="top"/>
    </xf>
    <xf numFmtId="9" fontId="3" fillId="6" borderId="12" xfId="0" applyNumberFormat="1" applyFont="1" applyFill="1" applyBorder="1" applyAlignment="1">
      <alignment horizontal="center" vertical="top"/>
    </xf>
    <xf numFmtId="0" fontId="2" fillId="0" borderId="0" xfId="0" applyFont="1" applyFill="1"/>
    <xf numFmtId="0" fontId="2"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18" fillId="8" borderId="0" xfId="0" applyFont="1" applyFill="1" applyBorder="1"/>
    <xf numFmtId="0" fontId="0" fillId="8" borderId="0" xfId="0" applyFill="1" applyAlignment="1">
      <alignment horizontal="center"/>
    </xf>
    <xf numFmtId="0" fontId="0" fillId="8" borderId="0" xfId="0" applyFill="1"/>
    <xf numFmtId="0" fontId="18" fillId="8" borderId="0" xfId="0" applyFont="1" applyFill="1"/>
    <xf numFmtId="0" fontId="0" fillId="0" borderId="0" xfId="0" applyFill="1" applyAlignment="1">
      <alignment horizontal="center"/>
    </xf>
    <xf numFmtId="0" fontId="3" fillId="3" borderId="10" xfId="0" applyNumberFormat="1" applyFont="1" applyFill="1" applyBorder="1" applyAlignment="1">
      <alignment vertical="top"/>
    </xf>
    <xf numFmtId="0" fontId="3" fillId="3" borderId="0" xfId="0" applyNumberFormat="1" applyFont="1" applyFill="1" applyBorder="1" applyAlignment="1">
      <alignment vertical="top"/>
    </xf>
    <xf numFmtId="0" fontId="3" fillId="3" borderId="13" xfId="0" applyNumberFormat="1" applyFont="1" applyFill="1" applyBorder="1" applyAlignment="1">
      <alignment vertical="top"/>
    </xf>
    <xf numFmtId="0" fontId="3" fillId="3" borderId="9" xfId="0" applyNumberFormat="1" applyFont="1" applyFill="1" applyBorder="1" applyAlignment="1">
      <alignment vertical="top"/>
    </xf>
    <xf numFmtId="0" fontId="6" fillId="5"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219075</xdr:colOff>
      <xdr:row>0</xdr:row>
      <xdr:rowOff>9525</xdr:rowOff>
    </xdr:from>
    <xdr:to>
      <xdr:col>16</xdr:col>
      <xdr:colOff>695325</xdr:colOff>
      <xdr:row>1</xdr:row>
      <xdr:rowOff>228600</xdr:rowOff>
    </xdr:to>
    <xdr:pic>
      <xdr:nvPicPr>
        <xdr:cNvPr id="102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858375" y="9525"/>
          <a:ext cx="476250"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37"/>
  <sheetViews>
    <sheetView workbookViewId="0">
      <selection activeCell="P26" sqref="P26"/>
    </sheetView>
  </sheetViews>
  <sheetFormatPr defaultRowHeight="12.75"/>
  <cols>
    <col min="1" max="1" width="5.5703125" customWidth="1"/>
    <col min="2" max="2" width="24.42578125" customWidth="1"/>
    <col min="3" max="3" width="9" customWidth="1"/>
  </cols>
  <sheetData>
    <row r="1" spans="1:15">
      <c r="A1" s="10" t="s">
        <v>3</v>
      </c>
      <c r="B1" s="10" t="s">
        <v>1</v>
      </c>
      <c r="C1" s="15" t="s">
        <v>22</v>
      </c>
      <c r="D1" s="15" t="s">
        <v>23</v>
      </c>
      <c r="E1" s="15" t="s">
        <v>24</v>
      </c>
      <c r="F1" s="15" t="s">
        <v>25</v>
      </c>
      <c r="G1" s="15" t="s">
        <v>26</v>
      </c>
      <c r="H1" s="15" t="s">
        <v>247</v>
      </c>
      <c r="I1" s="15" t="s">
        <v>248</v>
      </c>
      <c r="J1" s="15" t="s">
        <v>249</v>
      </c>
      <c r="K1" s="15" t="s">
        <v>250</v>
      </c>
      <c r="L1" s="15" t="s">
        <v>251</v>
      </c>
      <c r="M1" s="15" t="s">
        <v>306</v>
      </c>
      <c r="N1" s="15" t="s">
        <v>307</v>
      </c>
      <c r="O1" s="15" t="s">
        <v>308</v>
      </c>
    </row>
    <row r="2" spans="1:15" s="23" customFormat="1">
      <c r="A2" s="17">
        <v>1</v>
      </c>
      <c r="B2" s="39" t="s">
        <v>246</v>
      </c>
      <c r="C2" s="45" t="s">
        <v>263</v>
      </c>
      <c r="D2" s="38" t="s">
        <v>269</v>
      </c>
      <c r="E2" s="23" t="s">
        <v>270</v>
      </c>
      <c r="F2" s="38" t="s">
        <v>264</v>
      </c>
      <c r="G2" s="38"/>
    </row>
    <row r="3" spans="1:15">
      <c r="A3" s="16">
        <v>2</v>
      </c>
      <c r="B3" s="40" t="s">
        <v>4</v>
      </c>
      <c r="C3" t="s">
        <v>271</v>
      </c>
      <c r="D3" t="s">
        <v>274</v>
      </c>
      <c r="E3" t="s">
        <v>275</v>
      </c>
      <c r="F3" t="s">
        <v>272</v>
      </c>
      <c r="G3" t="s">
        <v>273</v>
      </c>
    </row>
    <row r="4" spans="1:15">
      <c r="A4" s="16">
        <v>3</v>
      </c>
      <c r="B4" s="59" t="s">
        <v>261</v>
      </c>
      <c r="C4" s="18" t="s">
        <v>86</v>
      </c>
      <c r="D4" s="18" t="s">
        <v>85</v>
      </c>
      <c r="E4" s="23" t="s">
        <v>309</v>
      </c>
      <c r="F4" s="44" t="s">
        <v>262</v>
      </c>
      <c r="G4" s="44" t="s">
        <v>364</v>
      </c>
    </row>
    <row r="5" spans="1:15">
      <c r="A5" s="16">
        <f>SUM(A4+1)</f>
        <v>4</v>
      </c>
      <c r="B5" s="42" t="s">
        <v>5</v>
      </c>
      <c r="C5" s="18" t="s">
        <v>27</v>
      </c>
      <c r="D5" s="18" t="s">
        <v>429</v>
      </c>
      <c r="E5" s="18" t="s">
        <v>430</v>
      </c>
      <c r="F5" s="18" t="s">
        <v>431</v>
      </c>
      <c r="G5" s="18" t="s">
        <v>28</v>
      </c>
      <c r="H5" s="18" t="s">
        <v>58</v>
      </c>
      <c r="I5" s="18" t="s">
        <v>432</v>
      </c>
      <c r="J5" s="18" t="s">
        <v>433</v>
      </c>
      <c r="K5" s="18"/>
      <c r="L5" s="18"/>
    </row>
    <row r="6" spans="1:15">
      <c r="A6" s="16">
        <f t="shared" ref="A6:A33" si="0">SUM(A5+1)</f>
        <v>5</v>
      </c>
      <c r="B6" s="46" t="s">
        <v>6</v>
      </c>
      <c r="C6" t="s">
        <v>410</v>
      </c>
      <c r="D6" t="s">
        <v>411</v>
      </c>
      <c r="E6" t="s">
        <v>372</v>
      </c>
      <c r="F6" s="18" t="s">
        <v>412</v>
      </c>
      <c r="G6" s="18" t="s">
        <v>413</v>
      </c>
      <c r="H6" t="s">
        <v>414</v>
      </c>
      <c r="I6" t="s">
        <v>417</v>
      </c>
      <c r="J6" t="s">
        <v>418</v>
      </c>
      <c r="K6" t="s">
        <v>419</v>
      </c>
      <c r="L6" t="s">
        <v>416</v>
      </c>
      <c r="M6" t="s">
        <v>415</v>
      </c>
    </row>
    <row r="7" spans="1:15">
      <c r="A7" s="16">
        <f t="shared" si="0"/>
        <v>6</v>
      </c>
      <c r="B7" s="46" t="s">
        <v>7</v>
      </c>
      <c r="C7" t="s">
        <v>376</v>
      </c>
      <c r="D7" t="s">
        <v>57</v>
      </c>
      <c r="E7" t="s">
        <v>149</v>
      </c>
      <c r="F7" t="s">
        <v>148</v>
      </c>
      <c r="G7" t="s">
        <v>373</v>
      </c>
      <c r="H7" t="s">
        <v>374</v>
      </c>
      <c r="I7" t="s">
        <v>496</v>
      </c>
      <c r="J7" t="s">
        <v>375</v>
      </c>
    </row>
    <row r="8" spans="1:15">
      <c r="A8" s="16">
        <f t="shared" si="0"/>
        <v>7</v>
      </c>
      <c r="B8" s="40" t="s">
        <v>8</v>
      </c>
      <c r="C8" s="18" t="s">
        <v>55</v>
      </c>
      <c r="D8" s="18" t="s">
        <v>56</v>
      </c>
      <c r="E8" s="18" t="s">
        <v>82</v>
      </c>
      <c r="F8" s="18" t="s">
        <v>99</v>
      </c>
      <c r="G8" s="18"/>
      <c r="H8" s="18"/>
      <c r="I8" s="18"/>
    </row>
    <row r="9" spans="1:15">
      <c r="A9" s="16">
        <f t="shared" si="0"/>
        <v>8</v>
      </c>
      <c r="B9" s="42" t="s">
        <v>260</v>
      </c>
      <c r="C9" s="18" t="s">
        <v>30</v>
      </c>
      <c r="D9" s="18" t="s">
        <v>285</v>
      </c>
      <c r="E9" s="18" t="s">
        <v>286</v>
      </c>
      <c r="F9" s="19" t="s">
        <v>214</v>
      </c>
      <c r="G9" s="19" t="s">
        <v>287</v>
      </c>
      <c r="H9" s="19" t="s">
        <v>512</v>
      </c>
      <c r="I9" s="19" t="s">
        <v>513</v>
      </c>
    </row>
    <row r="10" spans="1:15">
      <c r="A10" s="16">
        <f t="shared" si="0"/>
        <v>9</v>
      </c>
      <c r="B10" s="46" t="s">
        <v>29</v>
      </c>
      <c r="C10" s="18" t="s">
        <v>36</v>
      </c>
      <c r="D10" s="18" t="s">
        <v>75</v>
      </c>
      <c r="E10" s="18" t="s">
        <v>143</v>
      </c>
      <c r="F10" s="18" t="s">
        <v>76</v>
      </c>
      <c r="G10" s="18" t="s">
        <v>437</v>
      </c>
      <c r="H10" s="19" t="s">
        <v>402</v>
      </c>
      <c r="I10" s="19" t="s">
        <v>403</v>
      </c>
      <c r="J10" s="19" t="s">
        <v>404</v>
      </c>
      <c r="K10" s="19" t="s">
        <v>405</v>
      </c>
      <c r="L10" s="19" t="s">
        <v>406</v>
      </c>
      <c r="M10" s="19" t="s">
        <v>407</v>
      </c>
      <c r="N10" s="19" t="s">
        <v>408</v>
      </c>
    </row>
    <row r="11" spans="1:15">
      <c r="A11" s="16">
        <f t="shared" si="0"/>
        <v>10</v>
      </c>
      <c r="B11" s="47" t="s">
        <v>84</v>
      </c>
      <c r="C11" s="48" t="s">
        <v>310</v>
      </c>
      <c r="D11" s="44" t="s">
        <v>311</v>
      </c>
      <c r="E11" s="44" t="s">
        <v>312</v>
      </c>
      <c r="F11" s="44" t="s">
        <v>313</v>
      </c>
      <c r="G11" s="44" t="s">
        <v>314</v>
      </c>
      <c r="H11" s="44" t="s">
        <v>315</v>
      </c>
      <c r="I11" s="44" t="s">
        <v>316</v>
      </c>
      <c r="J11" s="44" t="s">
        <v>317</v>
      </c>
      <c r="K11" s="44" t="s">
        <v>318</v>
      </c>
    </row>
    <row r="12" spans="1:15">
      <c r="A12" s="16">
        <f t="shared" si="0"/>
        <v>11</v>
      </c>
      <c r="B12" s="40" t="s">
        <v>252</v>
      </c>
      <c r="C12" t="s">
        <v>54</v>
      </c>
      <c r="D12" t="s">
        <v>119</v>
      </c>
      <c r="E12" s="19" t="s">
        <v>293</v>
      </c>
      <c r="F12" s="60" t="s">
        <v>474</v>
      </c>
    </row>
    <row r="13" spans="1:15">
      <c r="A13" s="16">
        <f t="shared" si="0"/>
        <v>12</v>
      </c>
      <c r="B13" s="42" t="s">
        <v>9</v>
      </c>
      <c r="C13" s="48" t="s">
        <v>355</v>
      </c>
      <c r="D13" s="48" t="s">
        <v>356</v>
      </c>
      <c r="E13" s="48" t="s">
        <v>87</v>
      </c>
      <c r="F13" s="44" t="s">
        <v>61</v>
      </c>
      <c r="G13" s="48" t="s">
        <v>51</v>
      </c>
      <c r="H13" s="48" t="s">
        <v>357</v>
      </c>
      <c r="I13" s="48" t="s">
        <v>358</v>
      </c>
      <c r="J13" s="48" t="s">
        <v>359</v>
      </c>
      <c r="K13" s="23" t="s">
        <v>360</v>
      </c>
      <c r="L13" s="23" t="s">
        <v>361</v>
      </c>
      <c r="M13" s="23" t="s">
        <v>362</v>
      </c>
      <c r="N13" s="23" t="s">
        <v>495</v>
      </c>
      <c r="O13" s="23" t="s">
        <v>363</v>
      </c>
    </row>
    <row r="14" spans="1:15">
      <c r="A14" s="16">
        <f t="shared" si="0"/>
        <v>13</v>
      </c>
      <c r="B14" s="41" t="s">
        <v>256</v>
      </c>
      <c r="C14" s="18" t="s">
        <v>279</v>
      </c>
      <c r="D14" s="48" t="s">
        <v>441</v>
      </c>
      <c r="E14" s="18" t="s">
        <v>280</v>
      </c>
      <c r="F14" s="18" t="s">
        <v>281</v>
      </c>
      <c r="G14" s="18" t="s">
        <v>282</v>
      </c>
      <c r="H14" s="19" t="s">
        <v>456</v>
      </c>
      <c r="I14" s="19" t="s">
        <v>283</v>
      </c>
    </row>
    <row r="15" spans="1:15">
      <c r="A15" s="16">
        <f t="shared" si="0"/>
        <v>14</v>
      </c>
      <c r="B15" s="42" t="s">
        <v>253</v>
      </c>
      <c r="C15" t="s">
        <v>88</v>
      </c>
      <c r="D15" t="s">
        <v>89</v>
      </c>
      <c r="E15" t="s">
        <v>90</v>
      </c>
      <c r="F15" t="s">
        <v>91</v>
      </c>
      <c r="G15" t="s">
        <v>92</v>
      </c>
      <c r="H15" t="s">
        <v>93</v>
      </c>
      <c r="I15" t="s">
        <v>94</v>
      </c>
      <c r="J15" t="s">
        <v>377</v>
      </c>
      <c r="K15" t="s">
        <v>95</v>
      </c>
      <c r="L15" t="s">
        <v>265</v>
      </c>
    </row>
    <row r="16" spans="1:15">
      <c r="A16" s="16">
        <f t="shared" si="0"/>
        <v>15</v>
      </c>
      <c r="B16" s="40" t="s">
        <v>255</v>
      </c>
      <c r="C16" s="18" t="s">
        <v>79</v>
      </c>
      <c r="D16" s="18" t="s">
        <v>80</v>
      </c>
      <c r="E16" s="18" t="s">
        <v>304</v>
      </c>
      <c r="F16" s="18" t="s">
        <v>305</v>
      </c>
      <c r="G16" s="48" t="s">
        <v>434</v>
      </c>
      <c r="H16" s="48" t="s">
        <v>508</v>
      </c>
      <c r="I16" s="18"/>
    </row>
    <row r="17" spans="1:13">
      <c r="A17" s="16">
        <f t="shared" si="0"/>
        <v>16</v>
      </c>
      <c r="B17" s="42" t="s">
        <v>10</v>
      </c>
      <c r="C17" s="18" t="s">
        <v>43</v>
      </c>
      <c r="D17" s="18" t="s">
        <v>44</v>
      </c>
      <c r="E17" s="18" t="s">
        <v>31</v>
      </c>
      <c r="F17" s="18" t="s">
        <v>102</v>
      </c>
      <c r="G17" s="18" t="s">
        <v>32</v>
      </c>
      <c r="H17" s="54" t="s">
        <v>465</v>
      </c>
      <c r="I17" s="18"/>
    </row>
    <row r="18" spans="1:13">
      <c r="A18" s="16">
        <f t="shared" si="0"/>
        <v>17</v>
      </c>
      <c r="B18" s="40" t="s">
        <v>11</v>
      </c>
      <c r="C18" s="18" t="s">
        <v>266</v>
      </c>
      <c r="D18" s="18" t="s">
        <v>62</v>
      </c>
      <c r="E18" s="18" t="s">
        <v>448</v>
      </c>
      <c r="F18" s="18" t="s">
        <v>63</v>
      </c>
      <c r="G18" s="18" t="s">
        <v>64</v>
      </c>
      <c r="H18" s="18" t="s">
        <v>294</v>
      </c>
      <c r="I18" s="18" t="s">
        <v>295</v>
      </c>
      <c r="J18" s="18" t="s">
        <v>296</v>
      </c>
      <c r="K18" s="18" t="s">
        <v>297</v>
      </c>
    </row>
    <row r="19" spans="1:13">
      <c r="A19" s="16">
        <v>18</v>
      </c>
      <c r="B19" s="40" t="s">
        <v>466</v>
      </c>
      <c r="C19" s="18" t="s">
        <v>467</v>
      </c>
      <c r="D19" s="18" t="s">
        <v>468</v>
      </c>
      <c r="E19" s="19" t="s">
        <v>469</v>
      </c>
      <c r="F19" s="19" t="s">
        <v>471</v>
      </c>
      <c r="G19" s="44" t="s">
        <v>494</v>
      </c>
      <c r="H19" s="19" t="s">
        <v>472</v>
      </c>
      <c r="I19" s="19" t="s">
        <v>470</v>
      </c>
      <c r="J19" s="60"/>
      <c r="K19" s="18"/>
    </row>
    <row r="20" spans="1:13">
      <c r="A20" s="16">
        <v>19</v>
      </c>
      <c r="B20" s="42" t="s">
        <v>257</v>
      </c>
      <c r="C20" s="18" t="s">
        <v>144</v>
      </c>
      <c r="D20" s="18" t="s">
        <v>145</v>
      </c>
      <c r="E20" s="18" t="s">
        <v>451</v>
      </c>
      <c r="F20" s="18" t="s">
        <v>276</v>
      </c>
      <c r="G20" s="18" t="s">
        <v>146</v>
      </c>
      <c r="H20" s="18" t="s">
        <v>147</v>
      </c>
      <c r="I20" s="18" t="s">
        <v>267</v>
      </c>
      <c r="J20" s="18" t="s">
        <v>268</v>
      </c>
      <c r="K20" s="18" t="s">
        <v>277</v>
      </c>
      <c r="L20" s="18" t="s">
        <v>278</v>
      </c>
      <c r="M20" s="18" t="s">
        <v>459</v>
      </c>
    </row>
    <row r="21" spans="1:13">
      <c r="A21" s="16">
        <v>20</v>
      </c>
      <c r="B21" s="42" t="s">
        <v>12</v>
      </c>
      <c r="C21" s="18" t="s">
        <v>438</v>
      </c>
      <c r="D21" s="18" t="s">
        <v>439</v>
      </c>
      <c r="E21" s="18" t="s">
        <v>66</v>
      </c>
      <c r="F21" s="18" t="s">
        <v>67</v>
      </c>
      <c r="G21" s="19" t="s">
        <v>460</v>
      </c>
      <c r="H21" s="19" t="s">
        <v>442</v>
      </c>
      <c r="I21" s="19" t="s">
        <v>490</v>
      </c>
    </row>
    <row r="22" spans="1:13">
      <c r="A22" s="16">
        <v>21</v>
      </c>
      <c r="B22" s="46" t="s">
        <v>74</v>
      </c>
      <c r="C22" s="18" t="s">
        <v>461</v>
      </c>
      <c r="D22" s="18" t="s">
        <v>462</v>
      </c>
      <c r="E22" s="19" t="s">
        <v>463</v>
      </c>
      <c r="F22" s="19" t="s">
        <v>464</v>
      </c>
      <c r="G22" s="19"/>
      <c r="H22" s="19"/>
      <c r="I22" s="19"/>
      <c r="J22" s="19"/>
    </row>
    <row r="23" spans="1:13">
      <c r="A23" s="16">
        <f t="shared" si="0"/>
        <v>22</v>
      </c>
      <c r="B23" s="42" t="s">
        <v>259</v>
      </c>
      <c r="C23" s="18" t="s">
        <v>46</v>
      </c>
      <c r="D23" s="18" t="s">
        <v>47</v>
      </c>
      <c r="E23" s="18" t="s">
        <v>50</v>
      </c>
      <c r="F23" s="18" t="s">
        <v>48</v>
      </c>
      <c r="G23" s="18" t="s">
        <v>49</v>
      </c>
      <c r="H23" s="19" t="s">
        <v>100</v>
      </c>
      <c r="I23" s="19" t="s">
        <v>101</v>
      </c>
    </row>
    <row r="24" spans="1:13">
      <c r="A24" s="16">
        <f t="shared" si="0"/>
        <v>23</v>
      </c>
      <c r="B24" s="42" t="s">
        <v>13</v>
      </c>
      <c r="C24" s="18" t="s">
        <v>36</v>
      </c>
      <c r="D24" s="48" t="s">
        <v>370</v>
      </c>
      <c r="E24" s="48" t="s">
        <v>368</v>
      </c>
      <c r="F24" s="48" t="s">
        <v>369</v>
      </c>
      <c r="G24" s="54" t="s">
        <v>365</v>
      </c>
      <c r="H24" s="48" t="s">
        <v>367</v>
      </c>
      <c r="I24" s="18" t="s">
        <v>96</v>
      </c>
      <c r="J24" s="18" t="s">
        <v>97</v>
      </c>
      <c r="K24" s="18" t="s">
        <v>98</v>
      </c>
      <c r="L24" s="18" t="s">
        <v>118</v>
      </c>
    </row>
    <row r="25" spans="1:13">
      <c r="A25" s="16">
        <f t="shared" si="0"/>
        <v>24</v>
      </c>
      <c r="B25" s="42" t="s">
        <v>254</v>
      </c>
      <c r="C25" t="s">
        <v>290</v>
      </c>
      <c r="D25" t="s">
        <v>288</v>
      </c>
      <c r="E25" t="s">
        <v>289</v>
      </c>
      <c r="F25" s="18" t="s">
        <v>291</v>
      </c>
      <c r="G25" s="19" t="s">
        <v>59</v>
      </c>
      <c r="H25" s="19" t="s">
        <v>292</v>
      </c>
    </row>
    <row r="26" spans="1:13">
      <c r="A26" s="16">
        <f t="shared" si="0"/>
        <v>25</v>
      </c>
      <c r="B26" s="42" t="s">
        <v>14</v>
      </c>
      <c r="C26" s="18" t="s">
        <v>302</v>
      </c>
      <c r="D26" s="18" t="s">
        <v>303</v>
      </c>
      <c r="E26" s="18" t="s">
        <v>60</v>
      </c>
      <c r="F26" s="18" t="s">
        <v>409</v>
      </c>
      <c r="G26" s="18" t="s">
        <v>449</v>
      </c>
      <c r="H26" s="18" t="s">
        <v>71</v>
      </c>
      <c r="I26" s="18" t="s">
        <v>68</v>
      </c>
      <c r="J26" s="18" t="s">
        <v>69</v>
      </c>
      <c r="K26" s="18" t="s">
        <v>70</v>
      </c>
      <c r="L26" s="18" t="s">
        <v>81</v>
      </c>
    </row>
    <row r="27" spans="1:13">
      <c r="A27" s="16">
        <f t="shared" si="0"/>
        <v>26</v>
      </c>
      <c r="B27" s="46" t="s">
        <v>15</v>
      </c>
      <c r="C27" s="18" t="s">
        <v>52</v>
      </c>
      <c r="D27" s="18" t="s">
        <v>53</v>
      </c>
      <c r="E27" s="18" t="s">
        <v>65</v>
      </c>
      <c r="F27" s="18" t="s">
        <v>379</v>
      </c>
      <c r="G27" s="18" t="s">
        <v>378</v>
      </c>
      <c r="H27" s="18" t="s">
        <v>436</v>
      </c>
      <c r="I27" s="18"/>
    </row>
    <row r="28" spans="1:13">
      <c r="A28" s="16">
        <f t="shared" si="0"/>
        <v>27</v>
      </c>
      <c r="B28" s="42" t="s">
        <v>16</v>
      </c>
      <c r="C28" s="18" t="s">
        <v>34</v>
      </c>
      <c r="D28" s="18" t="s">
        <v>35</v>
      </c>
      <c r="E28" s="18" t="s">
        <v>33</v>
      </c>
      <c r="F28" s="18" t="s">
        <v>473</v>
      </c>
      <c r="G28" s="18" t="s">
        <v>427</v>
      </c>
      <c r="H28" s="18" t="s">
        <v>428</v>
      </c>
    </row>
    <row r="29" spans="1:13">
      <c r="A29" s="16">
        <f t="shared" si="0"/>
        <v>28</v>
      </c>
      <c r="B29" s="42" t="s">
        <v>17</v>
      </c>
      <c r="C29" s="18" t="s">
        <v>103</v>
      </c>
      <c r="D29" s="18" t="s">
        <v>150</v>
      </c>
      <c r="E29" s="18" t="s">
        <v>104</v>
      </c>
      <c r="F29" s="18" t="s">
        <v>77</v>
      </c>
      <c r="G29" s="18" t="s">
        <v>78</v>
      </c>
      <c r="H29" s="18" t="s">
        <v>511</v>
      </c>
      <c r="I29" s="18" t="s">
        <v>509</v>
      </c>
      <c r="J29" s="19" t="s">
        <v>497</v>
      </c>
      <c r="K29" s="19" t="s">
        <v>510</v>
      </c>
    </row>
    <row r="30" spans="1:13">
      <c r="A30" s="16">
        <f t="shared" si="0"/>
        <v>29</v>
      </c>
      <c r="B30" s="40" t="s">
        <v>211</v>
      </c>
      <c r="C30" s="18" t="s">
        <v>212</v>
      </c>
      <c r="D30" s="18" t="s">
        <v>371</v>
      </c>
      <c r="E30" s="18" t="s">
        <v>213</v>
      </c>
      <c r="F30" s="19" t="s">
        <v>435</v>
      </c>
      <c r="G30" s="19" t="s">
        <v>381</v>
      </c>
      <c r="H30" s="19" t="s">
        <v>382</v>
      </c>
      <c r="I30" s="19" t="s">
        <v>383</v>
      </c>
      <c r="J30" s="19" t="s">
        <v>450</v>
      </c>
    </row>
    <row r="31" spans="1:13">
      <c r="A31" s="16">
        <f t="shared" si="0"/>
        <v>30</v>
      </c>
      <c r="B31" s="40" t="s">
        <v>18</v>
      </c>
      <c r="C31" s="18" t="s">
        <v>284</v>
      </c>
      <c r="D31" s="18" t="s">
        <v>122</v>
      </c>
      <c r="E31" s="18" t="s">
        <v>380</v>
      </c>
      <c r="F31" s="18" t="s">
        <v>121</v>
      </c>
      <c r="G31" s="19" t="s">
        <v>120</v>
      </c>
      <c r="H31" s="18"/>
      <c r="I31" s="18"/>
    </row>
    <row r="32" spans="1:13">
      <c r="A32" s="16">
        <f t="shared" si="0"/>
        <v>31</v>
      </c>
      <c r="B32" s="47" t="s">
        <v>258</v>
      </c>
      <c r="C32" s="18" t="s">
        <v>298</v>
      </c>
      <c r="D32" s="18" t="s">
        <v>452</v>
      </c>
      <c r="E32" s="18" t="s">
        <v>299</v>
      </c>
      <c r="F32" s="19" t="s">
        <v>440</v>
      </c>
      <c r="G32" s="19" t="s">
        <v>301</v>
      </c>
      <c r="H32" s="19" t="s">
        <v>300</v>
      </c>
      <c r="I32" s="18"/>
    </row>
    <row r="33" spans="1:13">
      <c r="A33" s="16">
        <f t="shared" si="0"/>
        <v>32</v>
      </c>
      <c r="B33" s="43">
        <v>911</v>
      </c>
      <c r="C33" s="70" t="s">
        <v>73</v>
      </c>
      <c r="D33" s="70" t="s">
        <v>457</v>
      </c>
      <c r="E33" s="70" t="s">
        <v>458</v>
      </c>
      <c r="F33" s="70" t="s">
        <v>83</v>
      </c>
      <c r="G33" s="71" t="s">
        <v>72</v>
      </c>
      <c r="H33" s="70"/>
      <c r="I33" s="70"/>
      <c r="J33" s="72"/>
      <c r="K33" s="72"/>
    </row>
    <row r="34" spans="1:13">
      <c r="A34" s="16">
        <v>33</v>
      </c>
      <c r="B34" s="46" t="s">
        <v>6</v>
      </c>
      <c r="C34" s="72" t="s">
        <v>498</v>
      </c>
      <c r="D34" s="72" t="s">
        <v>499</v>
      </c>
      <c r="E34" s="72" t="s">
        <v>500</v>
      </c>
      <c r="F34" s="72" t="s">
        <v>501</v>
      </c>
      <c r="G34" s="72" t="s">
        <v>502</v>
      </c>
      <c r="H34" s="72" t="s">
        <v>503</v>
      </c>
      <c r="I34" s="72" t="s">
        <v>504</v>
      </c>
      <c r="J34" s="72" t="s">
        <v>505</v>
      </c>
      <c r="K34" s="72" t="s">
        <v>506</v>
      </c>
      <c r="L34" s="72" t="s">
        <v>507</v>
      </c>
      <c r="M34" s="72" t="s">
        <v>415</v>
      </c>
    </row>
    <row r="35" spans="1:13">
      <c r="A35" s="72"/>
      <c r="B35" s="72"/>
      <c r="C35" s="72"/>
      <c r="D35" s="72"/>
      <c r="E35" s="72"/>
      <c r="F35" s="72"/>
      <c r="G35" s="72"/>
      <c r="H35" s="72"/>
      <c r="I35" s="72"/>
      <c r="J35" s="72"/>
      <c r="K35" s="72"/>
    </row>
    <row r="37" spans="1:13">
      <c r="K37" s="23" t="s">
        <v>366</v>
      </c>
    </row>
  </sheetData>
  <phoneticPr fontId="12"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KK658"/>
  <sheetViews>
    <sheetView topLeftCell="EK1" workbookViewId="0">
      <selection activeCell="EQ40" sqref="EQ40"/>
    </sheetView>
  </sheetViews>
  <sheetFormatPr defaultRowHeight="12.75"/>
  <cols>
    <col min="1" max="1" width="6.28515625" customWidth="1"/>
    <col min="2" max="2" width="23.42578125" customWidth="1"/>
    <col min="4" max="4" width="8.85546875" customWidth="1"/>
    <col min="5" max="5" width="8.7109375" customWidth="1"/>
    <col min="7" max="7" width="8.140625" customWidth="1"/>
    <col min="8" max="8" width="7.140625" customWidth="1"/>
    <col min="9" max="9" width="9.5703125" customWidth="1"/>
    <col min="10" max="10" width="11.85546875" customWidth="1"/>
    <col min="11" max="15" width="12.5703125" customWidth="1"/>
    <col min="16" max="17" width="7.85546875" customWidth="1"/>
  </cols>
  <sheetData>
    <row r="1" spans="1:297">
      <c r="A1" s="21" t="s">
        <v>3</v>
      </c>
      <c r="B1" s="21" t="s">
        <v>1</v>
      </c>
      <c r="C1" s="21" t="s">
        <v>108</v>
      </c>
      <c r="D1" s="21" t="s">
        <v>109</v>
      </c>
      <c r="E1" s="21" t="s">
        <v>110</v>
      </c>
      <c r="F1" s="21" t="s">
        <v>111</v>
      </c>
      <c r="G1" s="21" t="s">
        <v>112</v>
      </c>
      <c r="H1" s="21" t="s">
        <v>113</v>
      </c>
      <c r="I1" s="21" t="s">
        <v>114</v>
      </c>
      <c r="J1" s="21" t="s">
        <v>115</v>
      </c>
      <c r="K1" s="21" t="s">
        <v>116</v>
      </c>
      <c r="L1" s="21" t="s">
        <v>117</v>
      </c>
      <c r="M1" s="21" t="s">
        <v>319</v>
      </c>
      <c r="N1" s="21" t="s">
        <v>320</v>
      </c>
      <c r="O1" s="21" t="s">
        <v>321</v>
      </c>
      <c r="P1" s="21" t="s">
        <v>123</v>
      </c>
      <c r="Q1" s="21" t="s">
        <v>124</v>
      </c>
      <c r="R1" s="21" t="s">
        <v>125</v>
      </c>
      <c r="S1" s="21" t="s">
        <v>126</v>
      </c>
      <c r="T1" s="21" t="s">
        <v>127</v>
      </c>
      <c r="U1" s="21" t="s">
        <v>128</v>
      </c>
      <c r="V1" s="21" t="s">
        <v>129</v>
      </c>
      <c r="W1" s="21" t="s">
        <v>130</v>
      </c>
      <c r="X1" s="21" t="s">
        <v>131</v>
      </c>
      <c r="Y1" s="21" t="s">
        <v>132</v>
      </c>
      <c r="Z1" s="21" t="s">
        <v>322</v>
      </c>
      <c r="AA1" s="21" t="s">
        <v>323</v>
      </c>
      <c r="AB1" s="21" t="s">
        <v>324</v>
      </c>
      <c r="AC1" s="21" t="s">
        <v>133</v>
      </c>
      <c r="AD1" s="21" t="s">
        <v>134</v>
      </c>
      <c r="AE1" s="21" t="s">
        <v>135</v>
      </c>
      <c r="AF1" s="21" t="s">
        <v>136</v>
      </c>
      <c r="AG1" s="21" t="s">
        <v>137</v>
      </c>
      <c r="AH1" s="21" t="s">
        <v>138</v>
      </c>
      <c r="AI1" s="21" t="s">
        <v>139</v>
      </c>
      <c r="AJ1" s="21" t="s">
        <v>140</v>
      </c>
      <c r="AK1" s="21" t="s">
        <v>141</v>
      </c>
      <c r="AL1" s="21" t="s">
        <v>142</v>
      </c>
      <c r="AM1" s="21" t="s">
        <v>325</v>
      </c>
      <c r="AN1" s="21" t="s">
        <v>326</v>
      </c>
      <c r="AO1" s="21" t="s">
        <v>327</v>
      </c>
      <c r="AP1" s="21" t="s">
        <v>151</v>
      </c>
      <c r="AQ1" s="21" t="s">
        <v>152</v>
      </c>
      <c r="AR1" s="21" t="s">
        <v>153</v>
      </c>
      <c r="AS1" s="21" t="s">
        <v>154</v>
      </c>
      <c r="AT1" s="21" t="s">
        <v>155</v>
      </c>
      <c r="AU1" s="21" t="s">
        <v>156</v>
      </c>
      <c r="AV1" s="21" t="s">
        <v>157</v>
      </c>
      <c r="AW1" s="21" t="s">
        <v>158</v>
      </c>
      <c r="AX1" s="21" t="s">
        <v>159</v>
      </c>
      <c r="AY1" s="21" t="s">
        <v>160</v>
      </c>
      <c r="AZ1" s="21" t="s">
        <v>328</v>
      </c>
      <c r="BA1" s="21" t="s">
        <v>329</v>
      </c>
      <c r="BB1" s="21" t="s">
        <v>330</v>
      </c>
      <c r="BC1" s="21" t="s">
        <v>161</v>
      </c>
      <c r="BD1" s="21" t="s">
        <v>162</v>
      </c>
      <c r="BE1" s="21" t="s">
        <v>163</v>
      </c>
      <c r="BF1" s="21" t="s">
        <v>164</v>
      </c>
      <c r="BG1" s="21" t="s">
        <v>165</v>
      </c>
      <c r="BH1" s="21" t="s">
        <v>166</v>
      </c>
      <c r="BI1" s="21" t="s">
        <v>167</v>
      </c>
      <c r="BJ1" s="21" t="s">
        <v>168</v>
      </c>
      <c r="BK1" s="21" t="s">
        <v>169</v>
      </c>
      <c r="BL1" s="21" t="s">
        <v>170</v>
      </c>
      <c r="BM1" s="21" t="s">
        <v>331</v>
      </c>
      <c r="BN1" s="21" t="s">
        <v>332</v>
      </c>
      <c r="BO1" s="21" t="s">
        <v>333</v>
      </c>
      <c r="BP1" s="21" t="s">
        <v>171</v>
      </c>
      <c r="BQ1" s="21" t="s">
        <v>172</v>
      </c>
      <c r="BR1" s="21" t="s">
        <v>173</v>
      </c>
      <c r="BS1" s="21" t="s">
        <v>174</v>
      </c>
      <c r="BT1" s="21" t="s">
        <v>175</v>
      </c>
      <c r="BU1" s="21" t="s">
        <v>176</v>
      </c>
      <c r="BV1" s="21" t="s">
        <v>177</v>
      </c>
      <c r="BW1" s="21" t="s">
        <v>178</v>
      </c>
      <c r="BX1" s="21" t="s">
        <v>179</v>
      </c>
      <c r="BY1" s="21" t="s">
        <v>180</v>
      </c>
      <c r="BZ1" s="21" t="s">
        <v>334</v>
      </c>
      <c r="CA1" s="21" t="s">
        <v>335</v>
      </c>
      <c r="CB1" s="21" t="s">
        <v>336</v>
      </c>
      <c r="CC1" s="21" t="s">
        <v>181</v>
      </c>
      <c r="CD1" s="21" t="s">
        <v>182</v>
      </c>
      <c r="CE1" s="21" t="s">
        <v>183</v>
      </c>
      <c r="CF1" s="21" t="s">
        <v>184</v>
      </c>
      <c r="CG1" s="21" t="s">
        <v>185</v>
      </c>
      <c r="CH1" s="21" t="s">
        <v>186</v>
      </c>
      <c r="CI1" s="21" t="s">
        <v>187</v>
      </c>
      <c r="CJ1" s="21" t="s">
        <v>188</v>
      </c>
      <c r="CK1" s="21" t="s">
        <v>189</v>
      </c>
      <c r="CL1" s="21" t="s">
        <v>190</v>
      </c>
      <c r="CM1" s="21" t="s">
        <v>337</v>
      </c>
      <c r="CN1" s="21" t="s">
        <v>338</v>
      </c>
      <c r="CO1" s="21" t="s">
        <v>339</v>
      </c>
      <c r="CP1" s="21" t="s">
        <v>191</v>
      </c>
      <c r="CQ1" s="21" t="s">
        <v>192</v>
      </c>
      <c r="CR1" s="21" t="s">
        <v>193</v>
      </c>
      <c r="CS1" s="21" t="s">
        <v>194</v>
      </c>
      <c r="CT1" s="21" t="s">
        <v>195</v>
      </c>
      <c r="CU1" s="21" t="s">
        <v>196</v>
      </c>
      <c r="CV1" s="21" t="s">
        <v>197</v>
      </c>
      <c r="CW1" s="21" t="s">
        <v>198</v>
      </c>
      <c r="CX1" s="21" t="s">
        <v>199</v>
      </c>
      <c r="CY1" s="21" t="s">
        <v>200</v>
      </c>
      <c r="CZ1" s="21" t="s">
        <v>340</v>
      </c>
      <c r="DA1" s="21" t="s">
        <v>341</v>
      </c>
      <c r="DB1" s="21" t="s">
        <v>342</v>
      </c>
      <c r="DC1" s="21" t="s">
        <v>201</v>
      </c>
      <c r="DD1" s="21" t="s">
        <v>202</v>
      </c>
      <c r="DE1" s="21" t="s">
        <v>203</v>
      </c>
      <c r="DF1" s="21" t="s">
        <v>204</v>
      </c>
      <c r="DG1" s="21" t="s">
        <v>205</v>
      </c>
      <c r="DH1" s="21" t="s">
        <v>206</v>
      </c>
      <c r="DI1" s="21" t="s">
        <v>207</v>
      </c>
      <c r="DJ1" s="21" t="s">
        <v>208</v>
      </c>
      <c r="DK1" s="21" t="s">
        <v>209</v>
      </c>
      <c r="DL1" s="21" t="s">
        <v>210</v>
      </c>
      <c r="DM1" s="21" t="s">
        <v>343</v>
      </c>
      <c r="DN1" s="21" t="s">
        <v>344</v>
      </c>
      <c r="DO1" s="21" t="s">
        <v>345</v>
      </c>
      <c r="DP1" s="21" t="s">
        <v>215</v>
      </c>
      <c r="DQ1" s="21" t="s">
        <v>216</v>
      </c>
      <c r="DR1" s="21" t="s">
        <v>217</v>
      </c>
      <c r="DS1" s="21" t="s">
        <v>218</v>
      </c>
      <c r="DT1" s="21" t="s">
        <v>219</v>
      </c>
      <c r="DU1" s="21" t="s">
        <v>220</v>
      </c>
      <c r="DV1" s="21" t="s">
        <v>221</v>
      </c>
      <c r="DW1" s="21" t="s">
        <v>222</v>
      </c>
      <c r="DX1" s="21" t="s">
        <v>223</v>
      </c>
      <c r="DY1" s="21" t="s">
        <v>224</v>
      </c>
      <c r="DZ1" s="21" t="s">
        <v>346</v>
      </c>
      <c r="EA1" s="21" t="s">
        <v>347</v>
      </c>
      <c r="EB1" s="21" t="s">
        <v>348</v>
      </c>
      <c r="EC1" s="21" t="s">
        <v>225</v>
      </c>
      <c r="ED1" s="21" t="s">
        <v>226</v>
      </c>
      <c r="EE1" s="21" t="s">
        <v>227</v>
      </c>
      <c r="EF1" s="21" t="s">
        <v>228</v>
      </c>
      <c r="EG1" s="21" t="s">
        <v>229</v>
      </c>
      <c r="EH1" s="21" t="s">
        <v>230</v>
      </c>
      <c r="EI1" s="21" t="s">
        <v>231</v>
      </c>
      <c r="EJ1" s="21" t="s">
        <v>232</v>
      </c>
      <c r="EK1" s="21" t="s">
        <v>233</v>
      </c>
      <c r="EL1" s="21" t="s">
        <v>234</v>
      </c>
      <c r="EM1" s="21" t="s">
        <v>349</v>
      </c>
      <c r="EN1" s="21" t="s">
        <v>350</v>
      </c>
      <c r="EO1" s="21" t="s">
        <v>351</v>
      </c>
      <c r="EP1" s="21" t="s">
        <v>235</v>
      </c>
      <c r="EQ1" s="21" t="s">
        <v>236</v>
      </c>
      <c r="ER1" s="21" t="s">
        <v>237</v>
      </c>
      <c r="ES1" s="21" t="s">
        <v>238</v>
      </c>
      <c r="ET1" s="21" t="s">
        <v>239</v>
      </c>
      <c r="EU1" s="21" t="s">
        <v>240</v>
      </c>
      <c r="EV1" s="21" t="s">
        <v>241</v>
      </c>
      <c r="EW1" s="21" t="s">
        <v>242</v>
      </c>
      <c r="EX1" s="21" t="s">
        <v>243</v>
      </c>
      <c r="EY1" s="21" t="s">
        <v>244</v>
      </c>
      <c r="EZ1" s="21" t="s">
        <v>352</v>
      </c>
      <c r="FA1" s="21" t="s">
        <v>353</v>
      </c>
      <c r="FB1" s="21" t="s">
        <v>354</v>
      </c>
      <c r="FC1" s="21" t="s">
        <v>477</v>
      </c>
      <c r="FD1" s="21" t="s">
        <v>478</v>
      </c>
      <c r="FE1" s="21" t="s">
        <v>479</v>
      </c>
      <c r="FF1" s="21" t="s">
        <v>480</v>
      </c>
      <c r="FG1" s="21" t="s">
        <v>481</v>
      </c>
      <c r="FH1" s="21" t="s">
        <v>482</v>
      </c>
      <c r="FI1" s="21" t="s">
        <v>483</v>
      </c>
      <c r="FJ1" s="21" t="s">
        <v>484</v>
      </c>
      <c r="FK1" s="21" t="s">
        <v>485</v>
      </c>
      <c r="FL1" s="21" t="s">
        <v>486</v>
      </c>
      <c r="FM1" s="21" t="s">
        <v>487</v>
      </c>
      <c r="FN1" s="21" t="s">
        <v>488</v>
      </c>
      <c r="FO1" s="21" t="s">
        <v>489</v>
      </c>
    </row>
    <row r="2" spans="1:297">
      <c r="A2" s="49">
        <v>1</v>
      </c>
      <c r="B2" s="50" t="s">
        <v>246</v>
      </c>
      <c r="C2" s="28">
        <v>175</v>
      </c>
      <c r="D2" s="28">
        <v>4</v>
      </c>
      <c r="E2" s="28">
        <v>19</v>
      </c>
      <c r="F2" s="28">
        <v>1705</v>
      </c>
      <c r="G2" s="29"/>
      <c r="H2" s="29"/>
      <c r="I2" s="29"/>
      <c r="J2" s="21"/>
      <c r="K2" s="21"/>
      <c r="L2" s="21"/>
      <c r="M2" s="21"/>
      <c r="N2" s="21"/>
      <c r="O2" s="21"/>
      <c r="P2" s="28">
        <v>4643</v>
      </c>
      <c r="Q2" s="28">
        <v>5</v>
      </c>
      <c r="R2" s="28">
        <v>13</v>
      </c>
      <c r="S2" s="28">
        <v>4194</v>
      </c>
      <c r="T2" s="29"/>
      <c r="U2" s="29"/>
      <c r="V2" s="29"/>
      <c r="W2" s="29"/>
      <c r="X2" s="29"/>
      <c r="Y2" s="29"/>
      <c r="Z2" s="29"/>
      <c r="AA2" s="29"/>
      <c r="AB2" s="29"/>
      <c r="AC2" s="28">
        <v>1275</v>
      </c>
      <c r="AD2" s="28">
        <v>4</v>
      </c>
      <c r="AE2" s="28">
        <v>11</v>
      </c>
      <c r="AF2" s="28">
        <v>1743</v>
      </c>
      <c r="AG2" s="28"/>
      <c r="AH2" s="28"/>
      <c r="AI2" s="28"/>
      <c r="AJ2" s="28"/>
      <c r="AK2" s="28"/>
      <c r="AL2" s="28"/>
      <c r="AM2" s="28"/>
      <c r="AN2" s="28"/>
      <c r="AO2" s="28"/>
      <c r="AP2" s="28">
        <v>2800</v>
      </c>
      <c r="AQ2" s="28">
        <v>3</v>
      </c>
      <c r="AR2" s="28">
        <v>16</v>
      </c>
      <c r="AS2" s="28">
        <v>3537</v>
      </c>
      <c r="AT2" s="28"/>
      <c r="AU2" s="28"/>
      <c r="AV2" s="28"/>
      <c r="AW2" s="28"/>
      <c r="AX2" s="28"/>
      <c r="AY2" s="28"/>
      <c r="AZ2" s="28"/>
      <c r="BA2" s="28"/>
      <c r="BB2" s="28"/>
      <c r="BC2" s="28">
        <v>500</v>
      </c>
      <c r="BD2" s="28">
        <v>1</v>
      </c>
      <c r="BE2" s="28">
        <v>18</v>
      </c>
      <c r="BF2" s="28">
        <v>2574</v>
      </c>
      <c r="BG2" s="28"/>
      <c r="BH2" s="28"/>
      <c r="BI2" s="28"/>
      <c r="BJ2" s="28"/>
      <c r="BK2" s="28"/>
      <c r="BL2" s="28"/>
      <c r="BM2" s="28"/>
      <c r="BN2" s="28"/>
      <c r="BO2" s="28"/>
      <c r="BP2" s="28">
        <v>1056</v>
      </c>
      <c r="BQ2" s="28">
        <v>2</v>
      </c>
      <c r="BR2" s="28">
        <v>17</v>
      </c>
      <c r="BS2" s="28">
        <v>1461</v>
      </c>
      <c r="BT2" s="28"/>
      <c r="BU2" s="28"/>
      <c r="BV2" s="28"/>
      <c r="BW2" s="28"/>
      <c r="BX2" s="28"/>
      <c r="BY2" s="28"/>
      <c r="BZ2" s="28"/>
      <c r="CA2" s="28"/>
      <c r="CB2" s="28"/>
      <c r="CC2" s="28">
        <v>6957</v>
      </c>
      <c r="CD2" s="28">
        <v>4</v>
      </c>
      <c r="CE2" s="28">
        <v>25</v>
      </c>
      <c r="CF2" s="28">
        <v>3699</v>
      </c>
      <c r="CG2" s="28"/>
      <c r="CH2" s="28"/>
      <c r="CI2" s="28"/>
      <c r="CJ2" s="28"/>
      <c r="CK2" s="28"/>
      <c r="CL2" s="28"/>
      <c r="CM2" s="28"/>
      <c r="CN2" s="28"/>
      <c r="CO2" s="28"/>
      <c r="CP2" s="28">
        <v>3156</v>
      </c>
      <c r="CQ2" s="28">
        <v>7</v>
      </c>
      <c r="CR2" s="28">
        <v>22</v>
      </c>
      <c r="CS2" s="28">
        <v>2184</v>
      </c>
      <c r="CT2" s="23"/>
      <c r="CU2" s="23"/>
      <c r="CV2" s="23"/>
      <c r="CW2" s="23"/>
      <c r="CX2" s="23"/>
      <c r="CY2" s="23"/>
      <c r="CZ2" s="23"/>
      <c r="DA2" s="23"/>
      <c r="DB2" s="23"/>
      <c r="DC2" s="23">
        <v>9745</v>
      </c>
      <c r="DD2" s="23">
        <v>9</v>
      </c>
      <c r="DE2" s="23">
        <v>21</v>
      </c>
      <c r="DF2" s="23">
        <v>7263</v>
      </c>
      <c r="DG2" s="23"/>
      <c r="DH2" s="23"/>
      <c r="DI2" s="23"/>
      <c r="DJ2" s="23"/>
      <c r="DK2" s="23"/>
      <c r="DL2" s="23"/>
      <c r="DM2" s="23"/>
      <c r="DN2" s="23"/>
      <c r="DO2" s="23"/>
      <c r="DP2" s="23">
        <v>2778</v>
      </c>
      <c r="DQ2" s="23">
        <v>5</v>
      </c>
      <c r="DR2" s="23">
        <v>18</v>
      </c>
      <c r="DS2" s="23">
        <v>2042</v>
      </c>
      <c r="DT2" s="23"/>
      <c r="DU2" s="23"/>
      <c r="DV2" s="23"/>
      <c r="DW2" s="23"/>
      <c r="DX2" s="23"/>
      <c r="DY2" s="23"/>
      <c r="DZ2" s="23"/>
      <c r="EA2" s="23"/>
      <c r="EC2">
        <v>3019</v>
      </c>
      <c r="ED2">
        <v>9</v>
      </c>
      <c r="EE2">
        <v>8</v>
      </c>
      <c r="EF2">
        <v>5730</v>
      </c>
      <c r="EP2">
        <v>2264</v>
      </c>
      <c r="EQ2">
        <v>11</v>
      </c>
      <c r="ER2">
        <v>11</v>
      </c>
      <c r="ES2">
        <v>9167</v>
      </c>
      <c r="FC2">
        <v>45811</v>
      </c>
      <c r="FD2">
        <v>96</v>
      </c>
      <c r="FE2">
        <v>224</v>
      </c>
      <c r="FF2">
        <v>65481</v>
      </c>
    </row>
    <row r="3" spans="1:297">
      <c r="A3" s="53">
        <v>2</v>
      </c>
      <c r="B3" s="51" t="s">
        <v>4</v>
      </c>
      <c r="C3" s="28">
        <v>1300</v>
      </c>
      <c r="D3" s="28">
        <v>1683</v>
      </c>
      <c r="E3" s="28">
        <v>2433</v>
      </c>
      <c r="F3" s="28">
        <v>14</v>
      </c>
      <c r="G3" s="28">
        <v>5</v>
      </c>
      <c r="H3" s="28"/>
      <c r="I3" s="28"/>
      <c r="J3" s="23"/>
      <c r="K3" s="23"/>
      <c r="L3" s="23"/>
      <c r="M3" s="23"/>
      <c r="N3" s="23"/>
      <c r="O3" s="23"/>
      <c r="P3" s="28">
        <v>1225</v>
      </c>
      <c r="Q3" s="28">
        <v>1831</v>
      </c>
      <c r="R3" s="28">
        <v>5532</v>
      </c>
      <c r="S3" s="28">
        <v>15</v>
      </c>
      <c r="T3" s="28">
        <v>4</v>
      </c>
      <c r="U3" s="28"/>
      <c r="V3" s="28"/>
      <c r="W3" s="28"/>
      <c r="X3" s="28"/>
      <c r="Y3" s="28"/>
      <c r="Z3" s="28"/>
      <c r="AA3" s="28"/>
      <c r="AB3" s="28"/>
      <c r="AC3" s="28">
        <v>942</v>
      </c>
      <c r="AD3" s="28">
        <v>1809</v>
      </c>
      <c r="AE3" s="28">
        <v>2356</v>
      </c>
      <c r="AF3" s="28">
        <v>14</v>
      </c>
      <c r="AG3" s="28">
        <v>4</v>
      </c>
      <c r="AH3" s="28"/>
      <c r="AI3" s="28"/>
      <c r="AJ3" s="28"/>
      <c r="AK3" s="28"/>
      <c r="AL3" s="28"/>
      <c r="AM3" s="28"/>
      <c r="AN3" s="28"/>
      <c r="AO3" s="28"/>
      <c r="AP3" s="28">
        <v>1032</v>
      </c>
      <c r="AQ3" s="28">
        <v>1721</v>
      </c>
      <c r="AR3" s="28">
        <v>4243</v>
      </c>
      <c r="AS3" s="28">
        <v>14</v>
      </c>
      <c r="AT3" s="28">
        <v>4</v>
      </c>
      <c r="AU3" s="28"/>
      <c r="AV3" s="28"/>
      <c r="AW3" s="28"/>
      <c r="AX3" s="28"/>
      <c r="AY3" s="28"/>
      <c r="AZ3" s="28"/>
      <c r="BA3" s="28"/>
      <c r="BB3" s="28"/>
      <c r="BC3" s="28">
        <v>659</v>
      </c>
      <c r="BD3" s="28">
        <v>3749</v>
      </c>
      <c r="BE3" s="28">
        <v>3816</v>
      </c>
      <c r="BF3" s="28">
        <v>14</v>
      </c>
      <c r="BG3" s="28">
        <v>4</v>
      </c>
      <c r="BH3" s="28"/>
      <c r="BI3" s="28"/>
      <c r="BJ3" s="28"/>
      <c r="BK3" s="28"/>
      <c r="BL3" s="28"/>
      <c r="BM3" s="28"/>
      <c r="BN3" s="28"/>
      <c r="BO3" s="28"/>
      <c r="BP3" s="28">
        <v>941</v>
      </c>
      <c r="BQ3" s="28">
        <v>3397</v>
      </c>
      <c r="BR3" s="28">
        <v>1917</v>
      </c>
      <c r="BS3" s="28">
        <v>13</v>
      </c>
      <c r="BT3" s="28">
        <v>4</v>
      </c>
      <c r="BU3" s="28"/>
      <c r="BV3" s="28"/>
      <c r="BW3" s="28"/>
      <c r="BX3" s="28"/>
      <c r="BY3" s="28"/>
      <c r="BZ3" s="28"/>
      <c r="CA3" s="28"/>
      <c r="CB3" s="28"/>
      <c r="CC3" s="28">
        <v>798</v>
      </c>
      <c r="CD3" s="28">
        <v>2302</v>
      </c>
      <c r="CE3" s="28">
        <v>1126</v>
      </c>
      <c r="CF3" s="28">
        <v>14</v>
      </c>
      <c r="CG3" s="28">
        <v>4</v>
      </c>
      <c r="CH3" s="28"/>
      <c r="CI3" s="28"/>
      <c r="CJ3" s="28"/>
      <c r="CK3" s="28"/>
      <c r="CL3" s="28"/>
      <c r="CM3" s="28"/>
      <c r="CN3" s="28"/>
      <c r="CO3" s="28"/>
      <c r="CP3" s="28">
        <v>532</v>
      </c>
      <c r="CQ3" s="28">
        <v>1555</v>
      </c>
      <c r="CR3" s="28">
        <v>10551</v>
      </c>
      <c r="CS3" s="28">
        <v>14</v>
      </c>
      <c r="CT3" s="28">
        <v>4</v>
      </c>
      <c r="CU3" s="23"/>
      <c r="CV3" s="23"/>
      <c r="CW3" s="23"/>
      <c r="CX3" s="23"/>
      <c r="CY3" s="23"/>
      <c r="CZ3" s="23"/>
      <c r="DA3" s="23"/>
      <c r="DB3" s="23"/>
      <c r="DC3" s="23">
        <v>1161</v>
      </c>
      <c r="DD3" s="23">
        <v>3352</v>
      </c>
      <c r="DE3" s="23">
        <v>5368</v>
      </c>
      <c r="DF3" s="23">
        <v>14</v>
      </c>
      <c r="DG3" s="23">
        <v>4</v>
      </c>
      <c r="DH3" s="23"/>
      <c r="DI3" s="23"/>
      <c r="DJ3" s="23"/>
      <c r="DK3" s="23"/>
      <c r="DL3" s="23"/>
      <c r="DM3" s="23"/>
      <c r="DN3" s="23"/>
      <c r="DO3" s="23"/>
      <c r="DP3" s="23">
        <v>1223</v>
      </c>
      <c r="DQ3" s="23">
        <v>4318</v>
      </c>
      <c r="DR3" s="23">
        <v>4943</v>
      </c>
      <c r="DS3" s="23">
        <v>14</v>
      </c>
      <c r="DT3" s="23">
        <v>4</v>
      </c>
      <c r="DU3" s="23"/>
      <c r="DV3" s="23"/>
      <c r="DW3" s="23"/>
      <c r="DX3" s="23"/>
      <c r="DY3" s="23"/>
      <c r="DZ3" s="23"/>
      <c r="EA3" s="23"/>
      <c r="EB3" s="23"/>
      <c r="EC3" s="23">
        <v>831</v>
      </c>
      <c r="ED3" s="23">
        <v>2111</v>
      </c>
      <c r="EE3" s="23">
        <v>1892</v>
      </c>
      <c r="EF3" s="23">
        <v>13</v>
      </c>
      <c r="EG3" s="23">
        <v>4</v>
      </c>
      <c r="EH3" s="23"/>
      <c r="EI3" s="23"/>
      <c r="EJ3" s="23"/>
      <c r="EK3" s="23"/>
      <c r="EL3" s="23"/>
      <c r="EM3" s="23"/>
      <c r="EN3" s="23"/>
      <c r="EO3" s="23"/>
      <c r="EP3" s="23">
        <v>781</v>
      </c>
      <c r="EQ3" s="23">
        <v>1499</v>
      </c>
      <c r="ER3" s="23">
        <v>2664</v>
      </c>
      <c r="ES3" s="23">
        <v>13</v>
      </c>
      <c r="ET3" s="23">
        <v>4</v>
      </c>
      <c r="EU3" s="23"/>
      <c r="EV3" s="23"/>
      <c r="EW3" s="23"/>
      <c r="EX3" s="23"/>
      <c r="EY3" s="23"/>
      <c r="EZ3" s="23"/>
      <c r="FA3" s="23"/>
      <c r="FB3" s="23"/>
      <c r="FC3">
        <v>11576</v>
      </c>
      <c r="FD3">
        <v>15819</v>
      </c>
      <c r="FE3">
        <v>47747</v>
      </c>
      <c r="FF3">
        <v>14.7</v>
      </c>
      <c r="FG3">
        <v>4.3</v>
      </c>
    </row>
    <row r="4" spans="1:297">
      <c r="A4" s="53">
        <v>3</v>
      </c>
      <c r="B4" s="51" t="s">
        <v>261</v>
      </c>
      <c r="C4" s="28">
        <v>555</v>
      </c>
      <c r="D4" s="28">
        <v>362</v>
      </c>
      <c r="E4" s="28">
        <v>30</v>
      </c>
      <c r="F4" s="28">
        <v>0</v>
      </c>
      <c r="G4" s="28">
        <v>9</v>
      </c>
      <c r="H4" s="28"/>
      <c r="I4" s="28"/>
      <c r="J4" s="28"/>
      <c r="K4" s="21"/>
      <c r="L4" s="21"/>
      <c r="M4" s="21"/>
      <c r="N4" s="21"/>
      <c r="O4" s="21"/>
      <c r="P4" s="28">
        <v>461</v>
      </c>
      <c r="Q4" s="28">
        <v>219</v>
      </c>
      <c r="R4" s="28">
        <v>24</v>
      </c>
      <c r="S4" s="28">
        <v>1</v>
      </c>
      <c r="T4" s="28">
        <v>17</v>
      </c>
      <c r="U4" s="28"/>
      <c r="V4" s="28"/>
      <c r="W4" s="28"/>
      <c r="X4" s="28"/>
      <c r="Y4" s="28"/>
      <c r="Z4" s="28"/>
      <c r="AA4" s="28"/>
      <c r="AB4" s="28"/>
      <c r="AC4" s="28">
        <v>535</v>
      </c>
      <c r="AD4" s="28">
        <v>270</v>
      </c>
      <c r="AE4" s="28">
        <v>51</v>
      </c>
      <c r="AF4" s="28">
        <v>0</v>
      </c>
      <c r="AG4" s="28">
        <v>20</v>
      </c>
      <c r="AH4" s="28"/>
      <c r="AI4" s="28"/>
      <c r="AJ4" s="28"/>
      <c r="AK4" s="28"/>
      <c r="AL4" s="28"/>
      <c r="AM4" s="28"/>
      <c r="AN4" s="28"/>
      <c r="AO4" s="28"/>
      <c r="AP4" s="28">
        <v>584</v>
      </c>
      <c r="AQ4" s="28">
        <v>338</v>
      </c>
      <c r="AR4" s="28">
        <v>100</v>
      </c>
      <c r="AS4" s="28">
        <v>0</v>
      </c>
      <c r="AT4" s="28">
        <v>8</v>
      </c>
      <c r="AU4" s="28"/>
      <c r="AV4" s="28"/>
      <c r="AW4" s="28"/>
      <c r="AX4" s="28"/>
      <c r="AY4" s="28"/>
      <c r="AZ4" s="28"/>
      <c r="BA4" s="28"/>
      <c r="BB4" s="28"/>
      <c r="BC4" s="28">
        <v>307</v>
      </c>
      <c r="BD4" s="28">
        <v>135</v>
      </c>
      <c r="BE4" s="28">
        <v>18</v>
      </c>
      <c r="BF4" s="28">
        <v>0</v>
      </c>
      <c r="BG4" s="28">
        <v>11</v>
      </c>
      <c r="BH4" s="28"/>
      <c r="BI4" s="28"/>
      <c r="BJ4" s="28"/>
      <c r="BK4" s="28"/>
      <c r="BL4" s="28"/>
      <c r="BM4" s="28"/>
      <c r="BN4" s="28"/>
      <c r="BO4" s="28"/>
      <c r="BP4" s="28">
        <v>279</v>
      </c>
      <c r="BQ4" s="28">
        <v>121</v>
      </c>
      <c r="BR4" s="28">
        <v>20</v>
      </c>
      <c r="BS4" s="28">
        <v>0</v>
      </c>
      <c r="BT4" s="28">
        <v>4</v>
      </c>
      <c r="BU4" s="28"/>
      <c r="BV4" s="28"/>
      <c r="BW4" s="28"/>
      <c r="BX4" s="28"/>
      <c r="BY4" s="28"/>
      <c r="BZ4" s="28"/>
      <c r="CA4" s="28"/>
      <c r="CB4" s="28"/>
      <c r="CC4" s="28">
        <v>359</v>
      </c>
      <c r="CD4" s="28">
        <v>163</v>
      </c>
      <c r="CE4" s="28">
        <v>20</v>
      </c>
      <c r="CF4" s="28">
        <v>0</v>
      </c>
      <c r="CG4" s="28">
        <v>11</v>
      </c>
      <c r="CH4" s="28"/>
      <c r="CI4" s="28"/>
      <c r="CJ4" s="28"/>
      <c r="CK4" s="28"/>
      <c r="CL4" s="28"/>
      <c r="CM4" s="28"/>
      <c r="CN4" s="28"/>
      <c r="CO4" s="28"/>
      <c r="CP4" s="28">
        <v>310</v>
      </c>
      <c r="CQ4" s="28">
        <v>133</v>
      </c>
      <c r="CR4" s="28">
        <v>31</v>
      </c>
      <c r="CS4" s="28">
        <v>0</v>
      </c>
      <c r="CT4" s="28">
        <v>7</v>
      </c>
      <c r="CU4" s="28"/>
      <c r="CV4" s="28"/>
      <c r="CW4" s="23"/>
      <c r="CX4" s="23"/>
      <c r="CY4" s="23"/>
      <c r="CZ4" s="23"/>
      <c r="DA4" s="23"/>
      <c r="DB4" s="23"/>
      <c r="DC4" s="23">
        <v>373</v>
      </c>
      <c r="DD4" s="23">
        <v>153</v>
      </c>
      <c r="DE4" s="23">
        <v>18</v>
      </c>
      <c r="DF4" s="23">
        <v>0</v>
      </c>
      <c r="DG4" s="23">
        <v>11</v>
      </c>
      <c r="DH4" s="23"/>
      <c r="DI4" s="23"/>
      <c r="DJ4" s="23"/>
      <c r="DK4" s="23"/>
      <c r="DL4" s="23"/>
      <c r="DM4" s="23"/>
      <c r="DN4" s="23"/>
      <c r="DO4" s="23"/>
      <c r="DP4" s="23">
        <v>385</v>
      </c>
      <c r="DQ4" s="23">
        <v>164</v>
      </c>
      <c r="DR4" s="23">
        <v>33</v>
      </c>
      <c r="DS4" s="23">
        <v>2</v>
      </c>
      <c r="DT4" s="23">
        <v>14</v>
      </c>
      <c r="DU4" s="23"/>
      <c r="DV4" s="23"/>
      <c r="DW4" s="23"/>
      <c r="DX4" s="23"/>
      <c r="DY4" s="23"/>
      <c r="DZ4" s="23"/>
      <c r="EA4" s="23"/>
      <c r="EB4" s="23"/>
      <c r="EC4" s="23">
        <v>462</v>
      </c>
      <c r="ED4" s="23">
        <v>274</v>
      </c>
      <c r="EE4">
        <v>34</v>
      </c>
      <c r="EF4">
        <v>3</v>
      </c>
      <c r="EG4">
        <v>13</v>
      </c>
      <c r="EP4">
        <v>527</v>
      </c>
      <c r="EQ4">
        <v>291</v>
      </c>
      <c r="ER4">
        <v>25</v>
      </c>
      <c r="ES4">
        <v>1</v>
      </c>
      <c r="ET4">
        <v>19</v>
      </c>
      <c r="FC4">
        <v>5430</v>
      </c>
      <c r="FD4">
        <v>3107</v>
      </c>
      <c r="FE4">
        <v>465</v>
      </c>
      <c r="FF4">
        <v>6</v>
      </c>
      <c r="FG4">
        <v>99</v>
      </c>
    </row>
    <row r="5" spans="1:297">
      <c r="A5" s="53">
        <v>4</v>
      </c>
      <c r="B5" s="51" t="s">
        <v>5</v>
      </c>
      <c r="C5" s="22">
        <v>38574</v>
      </c>
      <c r="D5" s="22">
        <v>8147</v>
      </c>
      <c r="E5" s="22">
        <v>93</v>
      </c>
      <c r="F5" s="22">
        <v>108</v>
      </c>
      <c r="G5" s="22"/>
      <c r="H5" s="22"/>
      <c r="I5" s="22"/>
      <c r="J5" s="22"/>
      <c r="K5" s="22"/>
      <c r="L5" s="22"/>
      <c r="M5" s="22"/>
      <c r="N5" s="22"/>
      <c r="O5" s="22"/>
      <c r="P5" s="22">
        <v>38689</v>
      </c>
      <c r="Q5" s="22">
        <v>973</v>
      </c>
      <c r="R5" s="22">
        <v>102</v>
      </c>
      <c r="S5" s="22">
        <v>100</v>
      </c>
      <c r="T5" s="22">
        <v>0</v>
      </c>
      <c r="U5" s="22">
        <v>0</v>
      </c>
      <c r="V5" s="22">
        <v>0</v>
      </c>
      <c r="W5" s="22">
        <v>0</v>
      </c>
      <c r="X5" s="22"/>
      <c r="Y5" s="22"/>
      <c r="Z5" s="22"/>
      <c r="AA5" s="22"/>
      <c r="AB5" s="22"/>
      <c r="AC5" s="22">
        <v>38544</v>
      </c>
      <c r="AD5" s="22">
        <v>1709</v>
      </c>
      <c r="AE5" s="22">
        <v>85</v>
      </c>
      <c r="AF5" s="22">
        <v>97</v>
      </c>
      <c r="AG5" s="22">
        <v>2.4</v>
      </c>
      <c r="AH5" s="22">
        <v>8.5</v>
      </c>
      <c r="AI5" s="22">
        <v>5</v>
      </c>
      <c r="AJ5" s="22">
        <v>25</v>
      </c>
      <c r="AK5" s="22"/>
      <c r="AL5" s="22"/>
      <c r="AM5" s="22"/>
      <c r="AN5" s="22"/>
      <c r="AO5" s="22"/>
      <c r="AP5" s="22">
        <v>38611</v>
      </c>
      <c r="AQ5" s="22">
        <v>1003</v>
      </c>
      <c r="AR5" s="22">
        <v>81</v>
      </c>
      <c r="AS5" s="22">
        <v>78</v>
      </c>
      <c r="AT5" s="22">
        <v>2.7</v>
      </c>
      <c r="AU5" s="22">
        <v>9.6999999999999993</v>
      </c>
      <c r="AV5" s="22">
        <v>3</v>
      </c>
      <c r="AW5" s="22">
        <v>20</v>
      </c>
      <c r="AX5" s="22"/>
      <c r="AY5" s="22"/>
      <c r="AZ5" s="22"/>
      <c r="BA5" s="22"/>
      <c r="BB5" s="22"/>
      <c r="BC5" s="22">
        <v>38652</v>
      </c>
      <c r="BD5" s="22">
        <v>1006</v>
      </c>
      <c r="BE5" s="22">
        <v>83</v>
      </c>
      <c r="BF5" s="22">
        <v>71</v>
      </c>
      <c r="BG5" s="22">
        <v>2</v>
      </c>
      <c r="BH5" s="22">
        <v>14.4</v>
      </c>
      <c r="BI5" s="22">
        <v>5</v>
      </c>
      <c r="BJ5" s="22">
        <v>75</v>
      </c>
      <c r="BK5" s="22"/>
      <c r="BL5" s="22"/>
      <c r="BM5" s="22"/>
      <c r="BN5" s="22"/>
      <c r="BO5" s="22"/>
      <c r="BP5" s="22">
        <v>38673</v>
      </c>
      <c r="BQ5" s="22">
        <v>1617</v>
      </c>
      <c r="BR5" s="22">
        <v>89</v>
      </c>
      <c r="BS5" s="22">
        <v>77</v>
      </c>
      <c r="BT5" s="22">
        <v>0</v>
      </c>
      <c r="BU5" s="22">
        <v>0</v>
      </c>
      <c r="BV5" s="22">
        <v>0</v>
      </c>
      <c r="BW5" s="22">
        <v>0</v>
      </c>
      <c r="BX5" s="22"/>
      <c r="BY5" s="22"/>
      <c r="BZ5" s="22"/>
      <c r="CA5" s="22"/>
      <c r="CB5" s="22"/>
      <c r="CC5" s="22">
        <v>38678</v>
      </c>
      <c r="CD5" s="22">
        <v>771</v>
      </c>
      <c r="CE5" s="22">
        <v>78</v>
      </c>
      <c r="CF5" s="22">
        <v>107</v>
      </c>
      <c r="CG5" s="22"/>
      <c r="CH5" s="22"/>
      <c r="CI5" s="22"/>
      <c r="CJ5" s="22"/>
      <c r="CK5" s="22"/>
      <c r="CL5" s="22"/>
      <c r="CM5" s="22"/>
      <c r="CN5" s="22"/>
      <c r="CO5" s="22"/>
      <c r="CP5" s="22">
        <v>38673</v>
      </c>
      <c r="CQ5" s="22">
        <v>485</v>
      </c>
      <c r="CR5" s="22">
        <v>90</v>
      </c>
      <c r="CS5" s="22">
        <v>97</v>
      </c>
      <c r="CT5" s="22"/>
      <c r="CU5" s="22"/>
      <c r="CV5" s="22"/>
      <c r="CW5" s="22"/>
      <c r="CX5" s="22"/>
      <c r="CY5" s="22"/>
      <c r="CZ5" s="22"/>
      <c r="DA5" s="22"/>
      <c r="DB5" s="22"/>
      <c r="DC5" s="22">
        <v>38705</v>
      </c>
      <c r="DD5" s="22">
        <v>3289</v>
      </c>
      <c r="DE5" s="22">
        <v>103</v>
      </c>
      <c r="DF5" s="22">
        <v>69</v>
      </c>
      <c r="DG5" s="22"/>
      <c r="DH5" s="22"/>
      <c r="DI5" s="22"/>
      <c r="DJ5" s="22"/>
      <c r="DK5" s="22"/>
      <c r="DL5" s="22"/>
      <c r="DM5" s="22"/>
      <c r="DN5" s="22"/>
      <c r="DO5" s="22"/>
      <c r="DP5" s="22">
        <v>38666</v>
      </c>
      <c r="DQ5" s="22">
        <v>810</v>
      </c>
      <c r="DR5" s="22">
        <v>63</v>
      </c>
      <c r="DS5" s="22">
        <v>128</v>
      </c>
      <c r="DT5" s="22"/>
      <c r="DU5" s="22"/>
      <c r="DX5" s="22"/>
      <c r="DY5" s="22"/>
      <c r="DZ5" s="22"/>
      <c r="EA5" s="22"/>
      <c r="EB5" s="22"/>
      <c r="EC5" s="22">
        <v>38662</v>
      </c>
      <c r="ED5" s="22">
        <v>6080</v>
      </c>
      <c r="EE5" s="22">
        <v>7</v>
      </c>
      <c r="EF5" s="22">
        <v>29</v>
      </c>
      <c r="EG5" s="22">
        <v>3.3</v>
      </c>
      <c r="EH5" s="22">
        <v>17.5</v>
      </c>
      <c r="EI5" s="22">
        <v>5</v>
      </c>
      <c r="EJ5" s="22">
        <v>125</v>
      </c>
      <c r="EK5" s="22"/>
      <c r="EL5" s="22"/>
      <c r="EM5" s="22"/>
      <c r="EN5" s="22"/>
      <c r="EO5" s="22"/>
      <c r="EP5">
        <v>38613</v>
      </c>
      <c r="EQ5">
        <v>1088</v>
      </c>
      <c r="ER5">
        <v>240</v>
      </c>
      <c r="ES5">
        <v>60</v>
      </c>
      <c r="ET5">
        <v>1.9</v>
      </c>
      <c r="EU5">
        <v>8.93</v>
      </c>
      <c r="EV5">
        <v>3</v>
      </c>
      <c r="EW5">
        <v>75</v>
      </c>
    </row>
    <row r="6" spans="1:297">
      <c r="A6" s="53">
        <v>5</v>
      </c>
      <c r="B6" s="51" t="s">
        <v>6</v>
      </c>
      <c r="C6" s="22">
        <v>66</v>
      </c>
      <c r="D6" s="22">
        <v>46</v>
      </c>
      <c r="E6" s="22">
        <v>0</v>
      </c>
      <c r="F6" s="22">
        <v>100</v>
      </c>
      <c r="G6" s="22">
        <v>79</v>
      </c>
      <c r="H6" s="22">
        <v>115</v>
      </c>
      <c r="I6" s="22">
        <v>204</v>
      </c>
      <c r="J6" s="22">
        <v>1520</v>
      </c>
      <c r="K6" s="22">
        <v>205</v>
      </c>
      <c r="L6" s="22">
        <v>0</v>
      </c>
      <c r="M6" s="22">
        <v>2326</v>
      </c>
      <c r="N6" s="22"/>
      <c r="O6" s="22"/>
      <c r="P6" s="22">
        <v>39</v>
      </c>
      <c r="Q6" s="22">
        <v>25</v>
      </c>
      <c r="R6" s="22">
        <v>0</v>
      </c>
      <c r="S6" s="22">
        <v>185</v>
      </c>
      <c r="T6" s="22">
        <v>148</v>
      </c>
      <c r="U6" s="22">
        <v>75</v>
      </c>
      <c r="V6" s="22">
        <v>0</v>
      </c>
      <c r="W6" s="22">
        <v>1319</v>
      </c>
      <c r="X6" s="22">
        <v>236</v>
      </c>
      <c r="Y6" s="22">
        <v>0</v>
      </c>
      <c r="Z6" s="22">
        <v>1836</v>
      </c>
      <c r="AA6" s="22"/>
      <c r="AB6" s="22"/>
      <c r="AC6" s="22">
        <v>81</v>
      </c>
      <c r="AD6" s="22">
        <v>75</v>
      </c>
      <c r="AE6" s="22">
        <v>71</v>
      </c>
      <c r="AF6" s="22">
        <v>156</v>
      </c>
      <c r="AG6" s="22">
        <v>92</v>
      </c>
      <c r="AH6" s="22">
        <v>45</v>
      </c>
      <c r="AI6" s="22">
        <v>6</v>
      </c>
      <c r="AJ6" s="22">
        <v>1473</v>
      </c>
      <c r="AK6" s="22">
        <v>544</v>
      </c>
      <c r="AL6" s="22">
        <v>17</v>
      </c>
      <c r="AM6" s="22">
        <v>2689</v>
      </c>
      <c r="AN6" s="22"/>
      <c r="AO6" s="22"/>
      <c r="AP6" s="22">
        <v>68</v>
      </c>
      <c r="AQ6" s="22">
        <v>51</v>
      </c>
      <c r="AR6" s="22">
        <v>0</v>
      </c>
      <c r="AS6" s="22">
        <v>95</v>
      </c>
      <c r="AT6" s="22">
        <v>55</v>
      </c>
      <c r="AU6" s="22">
        <v>50</v>
      </c>
      <c r="AV6" s="22">
        <v>1</v>
      </c>
      <c r="AW6" s="22">
        <v>1302</v>
      </c>
      <c r="AX6" s="22">
        <v>180</v>
      </c>
      <c r="AY6" s="22">
        <v>144</v>
      </c>
      <c r="AZ6" s="22">
        <v>2718</v>
      </c>
      <c r="BA6" s="22"/>
      <c r="BB6" s="22"/>
      <c r="BC6" s="22">
        <v>34</v>
      </c>
      <c r="BD6" s="22">
        <v>16</v>
      </c>
      <c r="BE6" s="22">
        <v>54</v>
      </c>
      <c r="BF6" s="22">
        <v>42</v>
      </c>
      <c r="BG6" s="22">
        <v>40</v>
      </c>
      <c r="BH6" s="22">
        <v>38</v>
      </c>
      <c r="BI6" s="22">
        <v>40</v>
      </c>
      <c r="BJ6" s="22">
        <v>3242</v>
      </c>
      <c r="BK6" s="22">
        <v>485</v>
      </c>
      <c r="BL6" s="22">
        <v>0</v>
      </c>
      <c r="BM6" s="22">
        <v>1861</v>
      </c>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58"/>
      <c r="DR6" s="58"/>
      <c r="DS6" s="22"/>
      <c r="DT6" s="22"/>
      <c r="DU6" s="22"/>
      <c r="DV6" s="22"/>
      <c r="DW6" s="22"/>
      <c r="DX6" s="22"/>
      <c r="DY6" s="22"/>
      <c r="DZ6" s="22"/>
      <c r="EC6" s="58"/>
      <c r="ED6" s="58"/>
      <c r="EE6" s="58"/>
      <c r="EF6" s="58"/>
      <c r="EG6" s="58"/>
      <c r="EH6" s="58"/>
      <c r="EI6" s="58"/>
      <c r="EJ6" s="58"/>
      <c r="EK6" s="58"/>
      <c r="EL6" s="58"/>
      <c r="EM6" s="58"/>
      <c r="FC6">
        <v>678</v>
      </c>
      <c r="FD6">
        <v>120</v>
      </c>
      <c r="FE6">
        <v>253</v>
      </c>
      <c r="FF6">
        <v>2191</v>
      </c>
      <c r="FG6">
        <v>1239</v>
      </c>
      <c r="FH6">
        <v>1830</v>
      </c>
      <c r="FI6">
        <v>573</v>
      </c>
      <c r="FJ6">
        <v>13740</v>
      </c>
      <c r="FK6">
        <v>3267</v>
      </c>
      <c r="FL6">
        <v>407</v>
      </c>
      <c r="FM6">
        <v>31543</v>
      </c>
    </row>
    <row r="7" spans="1:297" s="77" customFormat="1">
      <c r="A7" s="51">
        <v>6</v>
      </c>
      <c r="B7" s="51" t="s">
        <v>7</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v>22</v>
      </c>
      <c r="AQ7" s="79">
        <v>10</v>
      </c>
      <c r="AR7" s="79">
        <v>1</v>
      </c>
      <c r="AS7" s="79">
        <v>2</v>
      </c>
      <c r="AT7" s="79">
        <v>9</v>
      </c>
      <c r="AU7" s="79">
        <v>76</v>
      </c>
      <c r="AV7" s="79">
        <v>3</v>
      </c>
      <c r="AW7" s="79">
        <v>0</v>
      </c>
      <c r="AX7" s="79"/>
      <c r="AY7" s="79"/>
      <c r="AZ7" s="79"/>
      <c r="BA7" s="79"/>
      <c r="BB7" s="79"/>
      <c r="BC7" s="79"/>
      <c r="BD7" s="79"/>
      <c r="BE7" s="79"/>
      <c r="BF7" s="79"/>
      <c r="BG7" s="79"/>
      <c r="BH7" s="79"/>
      <c r="BI7" s="79"/>
      <c r="BJ7" s="79"/>
      <c r="BK7" s="79"/>
      <c r="BL7" s="79"/>
      <c r="BM7" s="79"/>
      <c r="BN7" s="79"/>
      <c r="BO7" s="79"/>
      <c r="BP7" s="79">
        <v>23</v>
      </c>
      <c r="BQ7" s="79">
        <v>1</v>
      </c>
      <c r="BR7" s="79">
        <v>0</v>
      </c>
      <c r="BS7" s="79">
        <v>5</v>
      </c>
      <c r="BT7" s="79">
        <v>0</v>
      </c>
      <c r="BU7" s="79">
        <v>74</v>
      </c>
      <c r="BV7" s="79">
        <v>3</v>
      </c>
      <c r="BW7" s="79">
        <v>0</v>
      </c>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v>31</v>
      </c>
      <c r="EQ7" s="18">
        <v>19</v>
      </c>
      <c r="ER7" s="18">
        <v>4</v>
      </c>
      <c r="ES7" s="18">
        <v>16</v>
      </c>
      <c r="ET7" s="18">
        <v>19</v>
      </c>
      <c r="EU7" s="18">
        <v>279</v>
      </c>
      <c r="EV7" s="18">
        <v>13</v>
      </c>
      <c r="EW7" s="18">
        <v>2</v>
      </c>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row>
    <row r="8" spans="1:297" s="77" customFormat="1">
      <c r="A8" s="75">
        <v>7</v>
      </c>
      <c r="B8" s="75" t="s">
        <v>8</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row>
    <row r="9" spans="1:297">
      <c r="A9" s="53">
        <v>8</v>
      </c>
      <c r="B9" s="51" t="s">
        <v>260</v>
      </c>
      <c r="C9" s="22">
        <v>38</v>
      </c>
      <c r="D9" s="22">
        <v>6</v>
      </c>
      <c r="E9" s="22">
        <v>7</v>
      </c>
      <c r="F9" s="22">
        <v>2</v>
      </c>
      <c r="G9" s="22">
        <v>2</v>
      </c>
      <c r="H9" s="22"/>
      <c r="I9" s="22"/>
      <c r="J9" s="22"/>
      <c r="K9" s="22"/>
      <c r="L9" s="22"/>
      <c r="M9" s="22"/>
      <c r="N9" s="22"/>
      <c r="O9" s="22"/>
      <c r="P9" s="22">
        <v>48</v>
      </c>
      <c r="Q9" s="22">
        <v>8</v>
      </c>
      <c r="R9" s="22">
        <v>7</v>
      </c>
      <c r="S9" s="22">
        <v>3</v>
      </c>
      <c r="T9" s="22">
        <v>1</v>
      </c>
      <c r="U9" s="22"/>
      <c r="V9" s="22"/>
      <c r="W9" s="22"/>
      <c r="X9" s="22"/>
      <c r="Y9" s="22"/>
      <c r="Z9" s="22"/>
      <c r="AA9" s="22"/>
      <c r="AB9" s="22"/>
      <c r="AC9" s="22">
        <v>100</v>
      </c>
      <c r="AD9" s="22">
        <v>10</v>
      </c>
      <c r="AE9" s="22">
        <v>6</v>
      </c>
      <c r="AF9" s="22">
        <v>2</v>
      </c>
      <c r="AG9" s="22">
        <v>1</v>
      </c>
      <c r="AH9" s="22"/>
      <c r="AI9" s="22"/>
      <c r="AJ9" s="22"/>
      <c r="AK9" s="22"/>
      <c r="AL9" s="22"/>
      <c r="AM9" s="22"/>
      <c r="AN9" s="22"/>
      <c r="AO9" s="22"/>
      <c r="AP9" s="22">
        <v>40</v>
      </c>
      <c r="AQ9" s="22">
        <v>8</v>
      </c>
      <c r="AR9" s="22">
        <v>10</v>
      </c>
      <c r="AS9" s="22">
        <v>1</v>
      </c>
      <c r="AT9" s="22">
        <v>3</v>
      </c>
      <c r="AU9" s="22"/>
      <c r="AV9" s="22"/>
      <c r="AW9" s="22"/>
      <c r="AX9" s="22"/>
      <c r="AY9" s="22"/>
      <c r="AZ9" s="22"/>
      <c r="BA9" s="22"/>
      <c r="BB9" s="22"/>
      <c r="BC9" s="22">
        <v>20</v>
      </c>
      <c r="BD9" s="22">
        <v>5</v>
      </c>
      <c r="BE9" s="22">
        <v>5</v>
      </c>
      <c r="BF9" s="22">
        <v>5</v>
      </c>
      <c r="BG9" s="22">
        <v>2</v>
      </c>
      <c r="BH9" s="22"/>
      <c r="BI9" s="22"/>
      <c r="BJ9" s="22"/>
      <c r="BK9" s="22"/>
      <c r="BL9" s="22"/>
      <c r="BM9" s="22"/>
      <c r="BN9" s="22"/>
      <c r="BO9" s="22"/>
      <c r="BP9" s="22">
        <v>30</v>
      </c>
      <c r="BQ9" s="22">
        <v>6</v>
      </c>
      <c r="BR9" s="22">
        <v>2</v>
      </c>
      <c r="BS9" s="22">
        <v>1</v>
      </c>
      <c r="BT9" s="22">
        <v>5</v>
      </c>
      <c r="BU9" s="22"/>
      <c r="BV9" s="22"/>
      <c r="BW9" s="22"/>
      <c r="BX9" s="22"/>
      <c r="BY9" s="22"/>
      <c r="BZ9" s="22"/>
      <c r="CA9" s="22"/>
      <c r="CB9" s="22"/>
      <c r="CC9" s="22">
        <v>30</v>
      </c>
      <c r="CD9" s="22">
        <v>4</v>
      </c>
      <c r="CE9" s="22">
        <v>5</v>
      </c>
      <c r="CF9" s="22">
        <v>1</v>
      </c>
      <c r="CG9" s="22">
        <v>0</v>
      </c>
      <c r="CH9" s="22"/>
      <c r="CI9" s="22"/>
      <c r="CJ9" s="22"/>
      <c r="CK9" s="22"/>
      <c r="CL9" s="22"/>
      <c r="CM9" s="22"/>
      <c r="CN9" s="22"/>
      <c r="CO9" s="22"/>
      <c r="CP9" s="22">
        <v>15</v>
      </c>
      <c r="CQ9" s="22">
        <v>4</v>
      </c>
      <c r="CR9" s="22">
        <v>5</v>
      </c>
      <c r="CS9" s="22">
        <v>3</v>
      </c>
      <c r="CT9" s="22">
        <v>2</v>
      </c>
      <c r="CU9" s="22"/>
      <c r="CV9" s="22"/>
      <c r="CW9" s="22"/>
      <c r="CX9" s="22"/>
      <c r="CY9" s="22"/>
      <c r="CZ9" s="22"/>
      <c r="DA9" s="22"/>
      <c r="DB9" s="22"/>
      <c r="DC9" s="22">
        <v>41</v>
      </c>
      <c r="DD9" s="22">
        <v>4</v>
      </c>
      <c r="DE9" s="22">
        <v>3</v>
      </c>
      <c r="DF9" s="22">
        <v>2</v>
      </c>
      <c r="DG9" s="22">
        <v>0</v>
      </c>
      <c r="DH9" s="22"/>
      <c r="DI9" s="22"/>
      <c r="DJ9" s="22"/>
      <c r="DK9" s="22"/>
      <c r="DL9" s="22"/>
      <c r="DM9" s="22"/>
      <c r="DN9" s="22"/>
      <c r="DO9" s="22"/>
      <c r="DP9" s="22">
        <v>41</v>
      </c>
      <c r="DQ9">
        <v>3</v>
      </c>
      <c r="DR9">
        <v>7</v>
      </c>
      <c r="DS9" s="22">
        <v>6</v>
      </c>
      <c r="DT9" s="22">
        <v>3</v>
      </c>
      <c r="EC9">
        <v>40</v>
      </c>
      <c r="ED9">
        <v>3</v>
      </c>
      <c r="EE9">
        <v>11</v>
      </c>
      <c r="EF9">
        <v>2</v>
      </c>
      <c r="EG9">
        <v>3</v>
      </c>
      <c r="EP9">
        <v>30</v>
      </c>
      <c r="EQ9">
        <v>6</v>
      </c>
      <c r="ER9">
        <v>6</v>
      </c>
      <c r="ES9">
        <v>2</v>
      </c>
      <c r="ET9">
        <v>2</v>
      </c>
      <c r="FC9">
        <v>418</v>
      </c>
      <c r="FD9">
        <v>80</v>
      </c>
      <c r="FE9">
        <v>61</v>
      </c>
      <c r="FF9">
        <v>34</v>
      </c>
      <c r="FG9">
        <v>21</v>
      </c>
    </row>
    <row r="10" spans="1:297">
      <c r="A10" s="53">
        <v>9</v>
      </c>
      <c r="B10" s="51" t="s">
        <v>29</v>
      </c>
      <c r="C10" s="22">
        <v>631</v>
      </c>
      <c r="D10" s="22">
        <v>56.6</v>
      </c>
      <c r="E10" s="22">
        <v>2.4</v>
      </c>
      <c r="F10" s="22">
        <v>9.9</v>
      </c>
      <c r="G10" s="22">
        <v>292</v>
      </c>
      <c r="H10" s="22">
        <v>23</v>
      </c>
      <c r="I10" s="22"/>
      <c r="J10" s="22">
        <v>38</v>
      </c>
      <c r="K10" s="22">
        <v>35</v>
      </c>
      <c r="L10" s="22">
        <v>12</v>
      </c>
      <c r="M10" s="22">
        <v>15</v>
      </c>
      <c r="N10" s="22">
        <v>14</v>
      </c>
      <c r="O10" s="22"/>
      <c r="P10" s="22">
        <v>652</v>
      </c>
      <c r="Q10" s="22">
        <v>52</v>
      </c>
      <c r="R10" s="22">
        <v>2.2999999999999998</v>
      </c>
      <c r="S10" s="22">
        <v>9.4</v>
      </c>
      <c r="T10" s="22">
        <v>305</v>
      </c>
      <c r="U10" s="22">
        <v>22</v>
      </c>
      <c r="V10" s="22"/>
      <c r="W10" s="22">
        <v>34</v>
      </c>
      <c r="X10" s="22">
        <v>33</v>
      </c>
      <c r="Y10" s="22">
        <v>16</v>
      </c>
      <c r="Z10" s="22">
        <v>13</v>
      </c>
      <c r="AA10" s="22">
        <v>13</v>
      </c>
      <c r="AB10" s="22"/>
      <c r="AC10" s="22">
        <v>648</v>
      </c>
      <c r="AD10" s="22">
        <v>54.2</v>
      </c>
      <c r="AE10" s="22">
        <v>2.2999999999999998</v>
      </c>
      <c r="AF10" s="22">
        <v>7.6</v>
      </c>
      <c r="AG10" s="22">
        <v>292</v>
      </c>
      <c r="AH10" s="22">
        <v>23</v>
      </c>
      <c r="AI10" s="22"/>
      <c r="AJ10" s="22">
        <v>38</v>
      </c>
      <c r="AK10" s="22">
        <v>32</v>
      </c>
      <c r="AL10" s="22">
        <v>11</v>
      </c>
      <c r="AM10" s="22">
        <v>16</v>
      </c>
      <c r="AN10" s="22">
        <v>17</v>
      </c>
      <c r="AO10" s="22"/>
      <c r="AP10" s="22">
        <v>609</v>
      </c>
      <c r="AQ10" s="22">
        <v>54.4</v>
      </c>
      <c r="AR10" s="22">
        <v>2.4</v>
      </c>
      <c r="AS10" s="22">
        <v>7.7</v>
      </c>
      <c r="AT10" s="22">
        <v>256</v>
      </c>
      <c r="AU10" s="22">
        <v>22</v>
      </c>
      <c r="AV10" s="22"/>
      <c r="AW10" s="22">
        <v>36</v>
      </c>
      <c r="AX10" s="22">
        <v>34</v>
      </c>
      <c r="AY10" s="22">
        <v>15</v>
      </c>
      <c r="AZ10" s="22">
        <v>15</v>
      </c>
      <c r="BA10" s="22">
        <v>12</v>
      </c>
      <c r="BB10" s="22"/>
      <c r="BC10" s="22">
        <v>585</v>
      </c>
      <c r="BD10" s="22">
        <v>55.1</v>
      </c>
      <c r="BE10" s="22">
        <v>2.4</v>
      </c>
      <c r="BF10" s="22">
        <v>8.1</v>
      </c>
      <c r="BG10" s="22">
        <v>295</v>
      </c>
      <c r="BH10" s="22">
        <v>21</v>
      </c>
      <c r="BI10" s="22"/>
      <c r="BJ10" s="22">
        <v>35</v>
      </c>
      <c r="BK10" s="22">
        <v>31</v>
      </c>
      <c r="BL10" s="22">
        <v>13</v>
      </c>
      <c r="BM10" s="22">
        <v>15</v>
      </c>
      <c r="BN10" s="22">
        <v>13</v>
      </c>
      <c r="BO10" s="22"/>
      <c r="BP10" s="22">
        <v>612</v>
      </c>
      <c r="BQ10" s="22">
        <v>59.9</v>
      </c>
      <c r="BR10" s="22">
        <v>2.4</v>
      </c>
      <c r="BS10" s="22">
        <v>8</v>
      </c>
      <c r="BT10" s="22">
        <v>272</v>
      </c>
      <c r="BU10" s="22">
        <v>23</v>
      </c>
      <c r="BV10" s="22"/>
      <c r="BW10" s="22">
        <v>36</v>
      </c>
      <c r="BX10" s="22">
        <v>34</v>
      </c>
      <c r="BY10" s="22">
        <v>14</v>
      </c>
      <c r="BZ10" s="22">
        <v>15</v>
      </c>
      <c r="CA10" s="22">
        <v>15</v>
      </c>
      <c r="CB10" s="22"/>
      <c r="CC10" s="22">
        <v>625</v>
      </c>
      <c r="CD10" s="22">
        <v>52.2</v>
      </c>
      <c r="CE10" s="22">
        <v>2.5</v>
      </c>
      <c r="CF10" s="22">
        <v>7.9</v>
      </c>
      <c r="CG10" s="22">
        <v>191</v>
      </c>
      <c r="CH10" s="22">
        <v>18</v>
      </c>
      <c r="CI10" s="22"/>
      <c r="CJ10" s="22">
        <v>21</v>
      </c>
      <c r="CK10" s="22">
        <v>19</v>
      </c>
      <c r="CL10" s="22">
        <v>18</v>
      </c>
      <c r="CM10" s="22">
        <v>19</v>
      </c>
      <c r="CN10" s="22">
        <v>14</v>
      </c>
      <c r="CO10" s="22"/>
      <c r="CP10" s="22">
        <v>522</v>
      </c>
      <c r="CQ10" s="22">
        <v>55</v>
      </c>
      <c r="CR10" s="22">
        <v>2.57</v>
      </c>
      <c r="CS10" s="22">
        <v>8.1</v>
      </c>
      <c r="CT10" s="22">
        <v>229</v>
      </c>
      <c r="CU10" s="22">
        <v>19</v>
      </c>
      <c r="CV10" s="22"/>
      <c r="CW10" s="22">
        <v>25</v>
      </c>
      <c r="CX10" s="22">
        <v>20</v>
      </c>
      <c r="CY10" s="22">
        <v>20</v>
      </c>
      <c r="CZ10" s="22">
        <v>18</v>
      </c>
      <c r="DA10" s="22">
        <v>15</v>
      </c>
      <c r="DB10" s="22"/>
      <c r="DC10" s="22">
        <v>658</v>
      </c>
      <c r="DD10" s="22">
        <v>53.7</v>
      </c>
      <c r="DE10" s="22">
        <v>1.76</v>
      </c>
      <c r="DF10" s="22">
        <v>7.52</v>
      </c>
      <c r="DG10" s="22">
        <v>310</v>
      </c>
      <c r="DH10" s="22">
        <v>20</v>
      </c>
      <c r="DI10" s="22"/>
      <c r="DJ10" s="22">
        <v>33</v>
      </c>
      <c r="DK10" s="22">
        <v>28</v>
      </c>
      <c r="DL10" s="22">
        <v>21</v>
      </c>
      <c r="DM10" s="22">
        <v>15</v>
      </c>
      <c r="DN10" s="22">
        <v>17</v>
      </c>
      <c r="DO10" s="22"/>
      <c r="DP10" s="22">
        <v>677</v>
      </c>
      <c r="DQ10" s="22">
        <v>61.1</v>
      </c>
      <c r="DR10" s="22">
        <v>1.5</v>
      </c>
      <c r="DS10" s="22">
        <v>8.5500000000000007</v>
      </c>
      <c r="DT10" s="22">
        <v>285</v>
      </c>
      <c r="DU10" s="22">
        <v>25</v>
      </c>
      <c r="DW10" s="22">
        <v>29</v>
      </c>
      <c r="DX10" s="22">
        <v>26</v>
      </c>
      <c r="DY10" s="22">
        <v>25</v>
      </c>
      <c r="DZ10" s="22">
        <v>21</v>
      </c>
      <c r="EA10" s="22">
        <v>22</v>
      </c>
      <c r="EC10" s="22">
        <v>603</v>
      </c>
      <c r="ED10" s="22">
        <v>54.8</v>
      </c>
      <c r="EE10" s="22">
        <v>1.7</v>
      </c>
      <c r="EF10" s="22">
        <v>6.9</v>
      </c>
      <c r="EG10" s="22">
        <v>237</v>
      </c>
      <c r="EH10" s="22">
        <v>20</v>
      </c>
      <c r="EJ10" s="22">
        <v>21</v>
      </c>
      <c r="EK10" s="22">
        <v>19</v>
      </c>
      <c r="EL10" s="22">
        <v>24</v>
      </c>
      <c r="EM10" s="22">
        <v>19</v>
      </c>
      <c r="EN10" s="22">
        <v>17</v>
      </c>
      <c r="EP10" s="22">
        <v>690</v>
      </c>
      <c r="EQ10" s="22">
        <v>51.9</v>
      </c>
      <c r="ER10" s="22">
        <v>1.98</v>
      </c>
      <c r="ES10" s="22">
        <v>7.95</v>
      </c>
      <c r="ET10" s="22">
        <v>254</v>
      </c>
      <c r="EU10" s="22">
        <v>23</v>
      </c>
      <c r="EV10" s="22"/>
      <c r="EW10" s="22">
        <v>26</v>
      </c>
      <c r="EX10" s="22">
        <v>22</v>
      </c>
      <c r="EY10" s="22">
        <v>28</v>
      </c>
      <c r="EZ10" s="22">
        <v>21</v>
      </c>
      <c r="FA10" s="22">
        <v>19</v>
      </c>
      <c r="FB10" s="22"/>
      <c r="FC10">
        <v>7193</v>
      </c>
      <c r="FD10">
        <v>49.3</v>
      </c>
      <c r="FE10">
        <v>2.2000000000000002</v>
      </c>
      <c r="FF10">
        <v>9.5</v>
      </c>
      <c r="FG10">
        <v>1908</v>
      </c>
      <c r="FH10">
        <v>21.8</v>
      </c>
      <c r="FJ10">
        <v>35</v>
      </c>
      <c r="FK10">
        <v>31.1</v>
      </c>
      <c r="FL10">
        <v>12</v>
      </c>
      <c r="FM10">
        <v>14.8</v>
      </c>
      <c r="FN10">
        <v>14.8</v>
      </c>
    </row>
    <row r="11" spans="1:297">
      <c r="A11" s="53">
        <v>10</v>
      </c>
      <c r="B11" s="51" t="s">
        <v>84</v>
      </c>
      <c r="C11" s="22">
        <v>23</v>
      </c>
      <c r="D11" s="22">
        <v>19</v>
      </c>
      <c r="E11" s="22">
        <v>13</v>
      </c>
      <c r="F11" s="22">
        <v>100</v>
      </c>
      <c r="G11" s="22">
        <v>94</v>
      </c>
      <c r="H11" s="22">
        <v>83</v>
      </c>
      <c r="I11" s="22">
        <v>100</v>
      </c>
      <c r="J11" s="22">
        <v>36</v>
      </c>
      <c r="K11" s="22">
        <v>25</v>
      </c>
      <c r="L11" s="22"/>
      <c r="M11" s="22"/>
      <c r="N11" s="22"/>
      <c r="O11" s="22"/>
      <c r="P11" s="22">
        <v>56</v>
      </c>
      <c r="Q11" s="22">
        <v>51</v>
      </c>
      <c r="R11" s="22">
        <v>14</v>
      </c>
      <c r="S11" s="22">
        <v>93</v>
      </c>
      <c r="T11" s="22">
        <v>100</v>
      </c>
      <c r="U11" s="22">
        <v>75</v>
      </c>
      <c r="V11" s="22">
        <v>100</v>
      </c>
      <c r="W11" s="22">
        <v>23</v>
      </c>
      <c r="X11" s="22">
        <v>31</v>
      </c>
      <c r="Y11" s="22"/>
      <c r="Z11" s="22"/>
      <c r="AA11" s="22"/>
      <c r="AB11" s="22"/>
      <c r="AC11" s="22">
        <v>56</v>
      </c>
      <c r="AD11" s="22">
        <v>4</v>
      </c>
      <c r="AE11" s="22">
        <v>18</v>
      </c>
      <c r="AF11" s="22">
        <v>67</v>
      </c>
      <c r="AG11" s="22">
        <v>100</v>
      </c>
      <c r="AH11" s="22">
        <v>94</v>
      </c>
      <c r="AI11" s="22">
        <v>100</v>
      </c>
      <c r="AJ11" s="22">
        <v>22</v>
      </c>
      <c r="AK11" s="22">
        <v>31</v>
      </c>
      <c r="AL11" s="22"/>
      <c r="AM11" s="22"/>
      <c r="AN11" s="22"/>
      <c r="AO11" s="22"/>
      <c r="AP11" s="22">
        <v>73</v>
      </c>
      <c r="AQ11" s="22">
        <v>82</v>
      </c>
      <c r="AR11" s="22">
        <v>16</v>
      </c>
      <c r="AS11" s="22">
        <v>69</v>
      </c>
      <c r="AT11" s="22">
        <v>100</v>
      </c>
      <c r="AU11" s="22">
        <v>73</v>
      </c>
      <c r="AV11" s="22">
        <v>100</v>
      </c>
      <c r="AW11" s="22">
        <v>40</v>
      </c>
      <c r="AX11" s="22">
        <v>38</v>
      </c>
      <c r="AY11" s="22"/>
      <c r="AZ11" s="22"/>
      <c r="BA11" s="22"/>
      <c r="BB11" s="22"/>
      <c r="BC11" s="22">
        <v>62</v>
      </c>
      <c r="BD11" s="22">
        <v>45</v>
      </c>
      <c r="BE11" s="22">
        <v>12</v>
      </c>
      <c r="BF11" s="22">
        <v>58</v>
      </c>
      <c r="BG11" s="22">
        <v>100</v>
      </c>
      <c r="BH11" s="22">
        <v>70</v>
      </c>
      <c r="BI11" s="22">
        <v>100</v>
      </c>
      <c r="BJ11" s="22">
        <v>27</v>
      </c>
      <c r="BK11" s="22">
        <v>27</v>
      </c>
      <c r="BL11" s="22"/>
      <c r="BM11" s="22"/>
      <c r="BN11" s="22"/>
      <c r="BO11" s="22"/>
      <c r="BP11" s="22">
        <v>101</v>
      </c>
      <c r="BQ11" s="22">
        <v>41</v>
      </c>
      <c r="BR11" s="22">
        <v>13</v>
      </c>
      <c r="BS11" s="22">
        <v>100</v>
      </c>
      <c r="BT11" s="22">
        <v>88</v>
      </c>
      <c r="BU11" s="22">
        <v>45</v>
      </c>
      <c r="BV11" s="22">
        <v>100</v>
      </c>
      <c r="BW11" s="22">
        <v>29</v>
      </c>
      <c r="BX11" s="22">
        <v>46</v>
      </c>
      <c r="BY11" s="22"/>
      <c r="BZ11" s="22"/>
      <c r="CA11" s="22"/>
      <c r="CB11" s="22"/>
      <c r="CC11" s="22">
        <v>35</v>
      </c>
      <c r="CD11" s="22">
        <v>48</v>
      </c>
      <c r="CE11" s="22">
        <v>10</v>
      </c>
      <c r="CF11" s="22">
        <v>100</v>
      </c>
      <c r="CG11" s="22">
        <v>75</v>
      </c>
      <c r="CH11" s="22">
        <v>75</v>
      </c>
      <c r="CI11" s="22">
        <v>100</v>
      </c>
      <c r="CJ11" s="22">
        <v>18</v>
      </c>
      <c r="CK11" s="22">
        <v>28</v>
      </c>
      <c r="CL11" s="22"/>
      <c r="CM11" s="22"/>
      <c r="CN11" s="22"/>
      <c r="CO11" s="22"/>
      <c r="CP11" s="22">
        <v>63</v>
      </c>
      <c r="CQ11" s="22">
        <v>24</v>
      </c>
      <c r="CR11" s="22">
        <v>8</v>
      </c>
      <c r="CS11" s="22">
        <v>100</v>
      </c>
      <c r="CT11" s="22">
        <v>100</v>
      </c>
      <c r="CU11" s="22">
        <v>58</v>
      </c>
      <c r="CV11" s="22">
        <v>100</v>
      </c>
      <c r="CW11" s="22">
        <v>38</v>
      </c>
      <c r="CX11" s="22">
        <v>28</v>
      </c>
      <c r="CY11" s="22"/>
      <c r="CZ11" s="22"/>
      <c r="DA11" s="22"/>
      <c r="DB11" s="22"/>
      <c r="DC11" s="22">
        <v>79</v>
      </c>
      <c r="DD11" s="22">
        <v>120</v>
      </c>
      <c r="DE11" s="22">
        <v>21</v>
      </c>
      <c r="DF11" s="22">
        <v>72</v>
      </c>
      <c r="DG11" s="22">
        <v>89</v>
      </c>
      <c r="DH11" s="22">
        <v>96</v>
      </c>
      <c r="DI11" s="22">
        <v>100</v>
      </c>
      <c r="DJ11" s="22">
        <v>41</v>
      </c>
      <c r="DK11" s="22">
        <v>31</v>
      </c>
      <c r="DL11" s="22"/>
      <c r="DM11" s="22"/>
      <c r="DN11" s="22"/>
      <c r="DO11" s="22"/>
      <c r="DP11" s="22">
        <v>111</v>
      </c>
      <c r="DQ11">
        <v>82</v>
      </c>
      <c r="DR11">
        <v>20</v>
      </c>
      <c r="DS11" s="22">
        <v>65</v>
      </c>
      <c r="DT11" s="22">
        <v>92</v>
      </c>
      <c r="DU11" s="22">
        <v>101</v>
      </c>
      <c r="DV11" s="22">
        <v>100</v>
      </c>
      <c r="DW11" s="22">
        <v>37</v>
      </c>
      <c r="DX11" s="22">
        <v>31</v>
      </c>
      <c r="EC11">
        <v>96</v>
      </c>
      <c r="ED11">
        <v>23</v>
      </c>
      <c r="EE11">
        <v>10</v>
      </c>
      <c r="EF11">
        <v>70</v>
      </c>
      <c r="EG11">
        <v>100</v>
      </c>
      <c r="EH11">
        <v>78</v>
      </c>
      <c r="EI11">
        <v>100</v>
      </c>
      <c r="EJ11">
        <v>16</v>
      </c>
      <c r="EK11">
        <v>35</v>
      </c>
      <c r="EP11">
        <v>115</v>
      </c>
      <c r="EQ11">
        <v>29</v>
      </c>
      <c r="ER11">
        <v>13</v>
      </c>
      <c r="ES11">
        <v>71</v>
      </c>
      <c r="ET11">
        <v>91</v>
      </c>
      <c r="EU11">
        <v>67</v>
      </c>
      <c r="EV11">
        <v>86</v>
      </c>
      <c r="EW11">
        <v>16</v>
      </c>
      <c r="EX11">
        <v>24</v>
      </c>
      <c r="FC11">
        <v>751</v>
      </c>
      <c r="FD11">
        <v>417</v>
      </c>
      <c r="FE11">
        <v>175</v>
      </c>
      <c r="FF11">
        <v>75.099999999999994</v>
      </c>
      <c r="FG11">
        <v>81.3</v>
      </c>
      <c r="FH11">
        <v>1169</v>
      </c>
      <c r="FI11">
        <v>94.8</v>
      </c>
      <c r="FJ11">
        <v>517</v>
      </c>
      <c r="FK11">
        <v>335</v>
      </c>
    </row>
    <row r="12" spans="1:297">
      <c r="A12" s="53">
        <v>11</v>
      </c>
      <c r="B12" s="51" t="s">
        <v>252</v>
      </c>
      <c r="C12" s="22">
        <v>186</v>
      </c>
      <c r="D12" s="22">
        <v>8.5</v>
      </c>
      <c r="E12" s="22">
        <v>306</v>
      </c>
      <c r="F12" s="22"/>
      <c r="G12" s="22"/>
      <c r="H12" s="22"/>
      <c r="I12" s="22"/>
      <c r="J12" s="22"/>
      <c r="K12" s="22"/>
      <c r="L12" s="22"/>
      <c r="M12" s="22"/>
      <c r="N12" s="22"/>
      <c r="O12" s="22"/>
      <c r="P12" s="22">
        <v>177</v>
      </c>
      <c r="Q12" s="22">
        <v>8.4</v>
      </c>
      <c r="R12" s="22">
        <v>393</v>
      </c>
      <c r="S12" s="22"/>
      <c r="T12" s="22"/>
      <c r="U12" s="22"/>
      <c r="V12" s="22"/>
      <c r="W12" s="22"/>
      <c r="X12" s="22"/>
      <c r="Y12" s="22"/>
      <c r="Z12" s="22"/>
      <c r="AA12" s="22"/>
      <c r="AB12" s="22"/>
      <c r="AC12" s="22">
        <v>198</v>
      </c>
      <c r="AD12" s="22">
        <v>9.4</v>
      </c>
      <c r="AE12" s="22">
        <v>323</v>
      </c>
      <c r="AF12" s="22"/>
      <c r="AG12" s="22"/>
      <c r="AH12" s="22"/>
      <c r="AI12" s="22"/>
      <c r="AJ12" s="22"/>
      <c r="AK12" s="22"/>
      <c r="AL12" s="22"/>
      <c r="AM12" s="22"/>
      <c r="AN12" s="22"/>
      <c r="AO12" s="22"/>
      <c r="AP12" s="22">
        <v>198</v>
      </c>
      <c r="AQ12" s="22">
        <v>9</v>
      </c>
      <c r="AR12" s="22">
        <v>186</v>
      </c>
      <c r="AS12" s="22">
        <v>173</v>
      </c>
      <c r="AT12" s="22"/>
      <c r="AU12" s="22"/>
      <c r="AV12" s="22"/>
      <c r="AW12" s="22"/>
      <c r="AX12" s="22"/>
      <c r="AY12" s="22"/>
      <c r="AZ12" s="22"/>
      <c r="BA12" s="22"/>
      <c r="BB12" s="22"/>
      <c r="BC12" s="22">
        <v>147</v>
      </c>
      <c r="BD12" s="22">
        <v>7.7</v>
      </c>
      <c r="BE12" s="22">
        <v>218</v>
      </c>
      <c r="BF12" s="22">
        <v>93</v>
      </c>
      <c r="BG12" s="22"/>
      <c r="BH12" s="22"/>
      <c r="BI12" s="22"/>
      <c r="BJ12" s="22"/>
      <c r="BK12" s="22"/>
      <c r="BL12" s="22"/>
      <c r="BM12" s="22"/>
      <c r="BN12" s="22"/>
      <c r="BO12" s="22"/>
      <c r="BP12" s="22">
        <v>209</v>
      </c>
      <c r="BQ12" s="22">
        <v>10</v>
      </c>
      <c r="BR12" s="22">
        <v>294</v>
      </c>
      <c r="BS12" s="22">
        <v>117</v>
      </c>
      <c r="BT12" s="22"/>
      <c r="BU12" s="22"/>
      <c r="BV12" s="22"/>
      <c r="BW12" s="22"/>
      <c r="BX12" s="22"/>
      <c r="BY12" s="22"/>
      <c r="BZ12" s="22"/>
      <c r="CA12" s="22"/>
      <c r="CB12" s="22"/>
      <c r="CC12" s="22">
        <v>228</v>
      </c>
      <c r="CD12" s="22">
        <v>12</v>
      </c>
      <c r="CE12" s="22">
        <v>306</v>
      </c>
      <c r="CF12" s="22">
        <v>70</v>
      </c>
      <c r="CG12" s="22"/>
      <c r="CH12" s="22"/>
      <c r="CI12" s="22"/>
      <c r="CJ12" s="22"/>
      <c r="CK12" s="22"/>
      <c r="CL12" s="22"/>
      <c r="CM12" s="22"/>
      <c r="CN12" s="22"/>
      <c r="CO12" s="22"/>
      <c r="CP12" s="22">
        <v>192</v>
      </c>
      <c r="CQ12" s="22">
        <v>9.6</v>
      </c>
      <c r="CR12" s="22">
        <v>270</v>
      </c>
      <c r="CS12" s="22">
        <v>85</v>
      </c>
      <c r="CT12" s="22"/>
      <c r="CU12" s="22"/>
      <c r="CV12" s="22"/>
      <c r="CW12" s="22"/>
      <c r="CX12" s="22"/>
      <c r="CY12" s="22"/>
      <c r="CZ12" s="22"/>
      <c r="DA12" s="22"/>
      <c r="DB12" s="22"/>
      <c r="DC12" s="22">
        <v>198</v>
      </c>
      <c r="DD12">
        <v>8.6</v>
      </c>
      <c r="DE12" s="22">
        <v>204</v>
      </c>
      <c r="DF12" s="22">
        <v>138</v>
      </c>
      <c r="DG12" s="22"/>
      <c r="DH12" s="22"/>
      <c r="DI12" s="22"/>
      <c r="DJ12" s="22"/>
      <c r="DK12" s="22"/>
      <c r="DL12" s="22"/>
      <c r="DM12" s="22"/>
      <c r="DN12" s="22"/>
      <c r="DO12" s="22"/>
      <c r="DP12" s="22">
        <v>166</v>
      </c>
      <c r="DQ12">
        <v>7.9</v>
      </c>
      <c r="DR12">
        <v>293</v>
      </c>
      <c r="DS12" s="22">
        <v>71</v>
      </c>
      <c r="DT12" s="22"/>
      <c r="DU12" s="22"/>
      <c r="DV12" s="22"/>
      <c r="EC12">
        <v>181</v>
      </c>
      <c r="ED12">
        <v>9.1</v>
      </c>
      <c r="EE12">
        <v>287</v>
      </c>
      <c r="EF12">
        <v>50</v>
      </c>
      <c r="EP12">
        <v>221</v>
      </c>
      <c r="EQ12">
        <v>10</v>
      </c>
      <c r="ER12">
        <v>255</v>
      </c>
      <c r="ES12">
        <v>56</v>
      </c>
      <c r="FC12">
        <v>1659</v>
      </c>
      <c r="FD12">
        <v>6.8</v>
      </c>
      <c r="FE12">
        <v>2340</v>
      </c>
    </row>
    <row r="13" spans="1:297">
      <c r="A13" s="49">
        <v>12</v>
      </c>
      <c r="B13" s="51" t="s">
        <v>9</v>
      </c>
      <c r="C13" s="22">
        <v>148</v>
      </c>
      <c r="D13" s="22">
        <v>484</v>
      </c>
      <c r="E13" s="22">
        <v>28.7</v>
      </c>
      <c r="F13" s="22">
        <v>0</v>
      </c>
      <c r="G13" s="22">
        <v>41</v>
      </c>
      <c r="H13" s="22">
        <v>0</v>
      </c>
      <c r="I13" s="22">
        <v>27</v>
      </c>
      <c r="J13" s="22">
        <v>128</v>
      </c>
      <c r="K13" s="22">
        <v>737</v>
      </c>
      <c r="L13" s="22">
        <v>28</v>
      </c>
      <c r="M13" s="22">
        <v>10</v>
      </c>
      <c r="N13" s="22">
        <v>18</v>
      </c>
      <c r="O13" s="22">
        <v>288</v>
      </c>
      <c r="P13" s="22">
        <v>161</v>
      </c>
      <c r="Q13" s="22">
        <v>541</v>
      </c>
      <c r="R13" s="22">
        <v>33.4</v>
      </c>
      <c r="S13" s="22">
        <v>0</v>
      </c>
      <c r="T13" s="22">
        <v>46</v>
      </c>
      <c r="U13" s="22">
        <v>0</v>
      </c>
      <c r="V13" s="22">
        <v>34</v>
      </c>
      <c r="W13" s="22">
        <v>134</v>
      </c>
      <c r="X13" s="22">
        <v>770</v>
      </c>
      <c r="Y13" s="22">
        <v>28</v>
      </c>
      <c r="Z13" s="22">
        <v>8</v>
      </c>
      <c r="AA13" s="22">
        <v>11</v>
      </c>
      <c r="AB13" s="22">
        <v>314</v>
      </c>
      <c r="AC13" s="22">
        <v>168</v>
      </c>
      <c r="AD13" s="22">
        <v>479</v>
      </c>
      <c r="AE13" s="22">
        <v>30.8</v>
      </c>
      <c r="AF13" s="22">
        <v>1</v>
      </c>
      <c r="AG13" s="22">
        <v>42</v>
      </c>
      <c r="AH13" s="22">
        <v>0</v>
      </c>
      <c r="AI13" s="22">
        <v>39</v>
      </c>
      <c r="AJ13" s="22">
        <v>95</v>
      </c>
      <c r="AK13" s="22">
        <v>744</v>
      </c>
      <c r="AL13" s="22">
        <v>27</v>
      </c>
      <c r="AM13" s="22">
        <v>9</v>
      </c>
      <c r="AN13" s="22">
        <v>17</v>
      </c>
      <c r="AO13" s="22">
        <v>407</v>
      </c>
      <c r="AP13" s="22">
        <v>148</v>
      </c>
      <c r="AQ13" s="22">
        <v>373</v>
      </c>
      <c r="AR13" s="22">
        <v>23.2</v>
      </c>
      <c r="AS13" s="22">
        <v>0</v>
      </c>
      <c r="AT13" s="22">
        <v>48</v>
      </c>
      <c r="AU13" s="22">
        <v>0</v>
      </c>
      <c r="AV13" s="22">
        <v>34</v>
      </c>
      <c r="AW13" s="22">
        <v>123</v>
      </c>
      <c r="AX13" s="22">
        <v>750</v>
      </c>
      <c r="AY13" s="22">
        <v>27</v>
      </c>
      <c r="AZ13" s="22">
        <v>7</v>
      </c>
      <c r="BA13" s="22">
        <v>9</v>
      </c>
      <c r="BB13" s="22">
        <v>375</v>
      </c>
      <c r="BC13" s="22">
        <v>138</v>
      </c>
      <c r="BD13" s="22">
        <v>256</v>
      </c>
      <c r="BE13" s="22">
        <v>21.8</v>
      </c>
      <c r="BF13" s="22">
        <v>0</v>
      </c>
      <c r="BG13" s="22">
        <v>26</v>
      </c>
      <c r="BH13" s="22">
        <v>0</v>
      </c>
      <c r="BI13" s="22">
        <v>32</v>
      </c>
      <c r="BJ13" s="22">
        <v>110</v>
      </c>
      <c r="BK13" s="22">
        <v>651</v>
      </c>
      <c r="BL13" s="22">
        <v>30</v>
      </c>
      <c r="BM13" s="22">
        <v>6</v>
      </c>
      <c r="BN13" s="22">
        <v>18</v>
      </c>
      <c r="BO13" s="22">
        <v>481</v>
      </c>
      <c r="BP13" s="22">
        <v>137</v>
      </c>
      <c r="BQ13" s="22">
        <v>326</v>
      </c>
      <c r="BR13" s="22">
        <v>20.100000000000001</v>
      </c>
      <c r="BS13" s="22">
        <v>0</v>
      </c>
      <c r="BT13" s="22">
        <v>42</v>
      </c>
      <c r="BU13" s="22">
        <v>1</v>
      </c>
      <c r="BV13" s="22">
        <v>33</v>
      </c>
      <c r="BW13" s="22">
        <v>101</v>
      </c>
      <c r="BX13" s="22">
        <v>702</v>
      </c>
      <c r="BY13" s="22">
        <v>25</v>
      </c>
      <c r="BZ13" s="22">
        <v>8</v>
      </c>
      <c r="CA13" s="22">
        <v>27</v>
      </c>
      <c r="CB13" s="22">
        <v>488</v>
      </c>
      <c r="CC13" s="22">
        <v>147</v>
      </c>
      <c r="CD13" s="22">
        <v>824</v>
      </c>
      <c r="CE13" s="22">
        <v>51.5</v>
      </c>
      <c r="CF13" s="22">
        <v>0</v>
      </c>
      <c r="CG13" s="22">
        <v>39</v>
      </c>
      <c r="CH13" s="22">
        <v>1</v>
      </c>
      <c r="CI13" s="22">
        <v>33</v>
      </c>
      <c r="CJ13" s="22">
        <v>106</v>
      </c>
      <c r="CK13" s="22">
        <v>691</v>
      </c>
      <c r="CL13" s="22">
        <v>26</v>
      </c>
      <c r="CM13" s="22">
        <v>8</v>
      </c>
      <c r="CN13" s="22">
        <v>18</v>
      </c>
      <c r="CO13" s="22">
        <v>451</v>
      </c>
      <c r="CP13" s="22">
        <v>183</v>
      </c>
      <c r="CQ13" s="22">
        <v>336</v>
      </c>
      <c r="CR13" s="22">
        <v>35.5</v>
      </c>
      <c r="CS13" s="22">
        <v>0</v>
      </c>
      <c r="CT13" s="22">
        <v>49</v>
      </c>
      <c r="CU13" s="22">
        <v>0</v>
      </c>
      <c r="CV13" s="22">
        <v>23</v>
      </c>
      <c r="CW13" s="22">
        <v>110</v>
      </c>
      <c r="CX13" s="22">
        <v>624</v>
      </c>
      <c r="CY13" s="22">
        <v>26</v>
      </c>
      <c r="CZ13" s="22">
        <v>7</v>
      </c>
      <c r="DA13" s="22">
        <v>11</v>
      </c>
      <c r="DB13" s="22">
        <v>397</v>
      </c>
      <c r="DC13" s="22">
        <v>176</v>
      </c>
      <c r="DD13" s="22">
        <v>402</v>
      </c>
      <c r="DE13" s="22">
        <v>24.3</v>
      </c>
      <c r="DF13" s="22">
        <v>0</v>
      </c>
      <c r="DG13" s="22">
        <v>30</v>
      </c>
      <c r="DH13" s="22">
        <v>0</v>
      </c>
      <c r="DI13" s="22">
        <v>32</v>
      </c>
      <c r="DJ13" s="22">
        <v>105</v>
      </c>
      <c r="DK13" s="22">
        <v>732</v>
      </c>
      <c r="DL13" s="22">
        <v>24</v>
      </c>
      <c r="DM13" s="22">
        <v>8</v>
      </c>
      <c r="DN13" s="22">
        <v>13</v>
      </c>
      <c r="DO13" s="22">
        <v>419</v>
      </c>
      <c r="DP13" s="22">
        <v>104</v>
      </c>
      <c r="DQ13" s="22">
        <v>279</v>
      </c>
      <c r="DR13" s="22">
        <v>19.8</v>
      </c>
      <c r="DS13" s="22">
        <v>0</v>
      </c>
      <c r="DT13" s="22">
        <v>49</v>
      </c>
      <c r="DU13" s="22">
        <v>0</v>
      </c>
      <c r="DV13" s="22">
        <v>21</v>
      </c>
      <c r="DW13" s="22">
        <v>95</v>
      </c>
      <c r="DX13" s="22">
        <v>667</v>
      </c>
      <c r="DY13" s="22">
        <v>23</v>
      </c>
      <c r="DZ13" s="22">
        <v>9</v>
      </c>
      <c r="EA13" s="22">
        <v>15</v>
      </c>
      <c r="EB13" s="22">
        <v>395</v>
      </c>
      <c r="EC13" s="22">
        <v>110</v>
      </c>
      <c r="ED13" s="22">
        <v>238</v>
      </c>
      <c r="EE13" s="22">
        <v>19.399999999999999</v>
      </c>
      <c r="EF13" s="22">
        <v>1</v>
      </c>
      <c r="EG13" s="22">
        <v>37</v>
      </c>
      <c r="EH13" s="22">
        <v>0</v>
      </c>
      <c r="EI13" s="22">
        <v>27</v>
      </c>
      <c r="EJ13" s="22">
        <v>93</v>
      </c>
      <c r="EK13" s="22">
        <v>586</v>
      </c>
      <c r="EL13" s="22">
        <v>23</v>
      </c>
      <c r="EM13" s="22">
        <v>8</v>
      </c>
      <c r="EN13" s="22">
        <v>16</v>
      </c>
      <c r="EO13" s="22">
        <v>426</v>
      </c>
      <c r="EP13" s="22">
        <v>149</v>
      </c>
      <c r="EQ13" s="22">
        <v>460</v>
      </c>
      <c r="ER13" s="22">
        <v>21.7</v>
      </c>
      <c r="ES13" s="22">
        <v>0</v>
      </c>
      <c r="ET13" s="22">
        <v>31</v>
      </c>
      <c r="EU13" s="22">
        <v>0</v>
      </c>
      <c r="EV13" s="22">
        <v>31</v>
      </c>
      <c r="EW13" s="22">
        <v>106</v>
      </c>
      <c r="EX13" s="22">
        <v>635</v>
      </c>
      <c r="EY13" s="22">
        <v>23</v>
      </c>
      <c r="EZ13" s="22">
        <v>7</v>
      </c>
      <c r="FA13" s="22">
        <v>16</v>
      </c>
      <c r="FB13" s="22">
        <v>436</v>
      </c>
      <c r="FC13">
        <v>1406</v>
      </c>
      <c r="FD13">
        <v>6087</v>
      </c>
      <c r="FE13">
        <v>27.4</v>
      </c>
      <c r="FF13">
        <v>1</v>
      </c>
      <c r="FG13">
        <v>306</v>
      </c>
      <c r="FH13">
        <v>0</v>
      </c>
      <c r="FI13">
        <v>318</v>
      </c>
      <c r="FJ13">
        <v>1212</v>
      </c>
      <c r="FK13">
        <v>8873</v>
      </c>
      <c r="FL13">
        <v>26.1</v>
      </c>
      <c r="FM13">
        <v>92</v>
      </c>
      <c r="FN13">
        <v>220</v>
      </c>
      <c r="FO13">
        <v>3368</v>
      </c>
    </row>
    <row r="14" spans="1:297">
      <c r="A14" s="49">
        <v>13</v>
      </c>
      <c r="B14" s="49" t="s">
        <v>256</v>
      </c>
      <c r="C14" s="22">
        <v>717</v>
      </c>
      <c r="D14" s="22">
        <v>33</v>
      </c>
      <c r="E14" s="22">
        <v>215</v>
      </c>
      <c r="F14" s="22">
        <v>1</v>
      </c>
      <c r="G14" s="22">
        <v>0</v>
      </c>
      <c r="H14" s="22">
        <v>3</v>
      </c>
      <c r="I14" s="22">
        <v>1</v>
      </c>
      <c r="J14" s="22"/>
      <c r="K14" s="22"/>
      <c r="L14" s="22"/>
      <c r="M14" s="22"/>
      <c r="N14" s="22"/>
      <c r="O14" s="22"/>
      <c r="P14" s="22">
        <v>545</v>
      </c>
      <c r="Q14" s="22">
        <v>26</v>
      </c>
      <c r="R14" s="22">
        <v>150</v>
      </c>
      <c r="S14" s="22">
        <v>1</v>
      </c>
      <c r="T14" s="22">
        <v>0</v>
      </c>
      <c r="U14" s="22">
        <v>5</v>
      </c>
      <c r="V14" s="22">
        <v>3</v>
      </c>
      <c r="W14" s="22"/>
      <c r="X14" s="22"/>
      <c r="Y14" s="22"/>
      <c r="Z14" s="22"/>
      <c r="AA14" s="22"/>
      <c r="AB14" s="22"/>
      <c r="AC14" s="22">
        <v>527</v>
      </c>
      <c r="AD14" s="22">
        <v>24</v>
      </c>
      <c r="AE14" s="22">
        <v>205</v>
      </c>
      <c r="AF14" s="22">
        <v>3</v>
      </c>
      <c r="AG14" s="22">
        <v>0</v>
      </c>
      <c r="AH14" s="22">
        <v>3</v>
      </c>
      <c r="AI14" s="22">
        <v>0</v>
      </c>
      <c r="AJ14" s="22"/>
      <c r="AK14" s="22"/>
      <c r="AL14" s="22"/>
      <c r="AM14" s="22"/>
      <c r="AN14" s="22"/>
      <c r="AO14" s="22"/>
      <c r="AP14" s="22">
        <v>630</v>
      </c>
      <c r="AQ14" s="22">
        <v>27</v>
      </c>
      <c r="AR14" s="22">
        <v>201</v>
      </c>
      <c r="AS14" s="22">
        <v>7</v>
      </c>
      <c r="AT14" s="22">
        <v>0</v>
      </c>
      <c r="AU14" s="22">
        <v>8</v>
      </c>
      <c r="AV14" s="22">
        <v>0</v>
      </c>
      <c r="AW14" s="22"/>
      <c r="AX14" s="22"/>
      <c r="AY14" s="22"/>
      <c r="AZ14" s="22"/>
      <c r="BA14" s="22"/>
      <c r="BB14" s="22"/>
      <c r="BC14" s="22">
        <v>1492</v>
      </c>
      <c r="BD14" s="22">
        <v>88</v>
      </c>
      <c r="BE14" s="22">
        <v>299</v>
      </c>
      <c r="BF14" s="22">
        <v>4</v>
      </c>
      <c r="BG14" s="22">
        <v>0</v>
      </c>
      <c r="BH14" s="22">
        <v>1</v>
      </c>
      <c r="BI14" s="22">
        <v>0</v>
      </c>
      <c r="BJ14" s="22"/>
      <c r="BK14" s="22"/>
      <c r="BL14" s="22"/>
      <c r="BM14" s="22"/>
      <c r="BN14" s="22"/>
      <c r="BO14" s="22"/>
      <c r="BP14" s="22">
        <v>402</v>
      </c>
      <c r="BQ14" s="22">
        <v>20</v>
      </c>
      <c r="BR14" s="22">
        <v>109</v>
      </c>
      <c r="BS14" s="22">
        <v>2</v>
      </c>
      <c r="BT14" s="22">
        <v>0</v>
      </c>
      <c r="BU14" s="22">
        <v>1</v>
      </c>
      <c r="BV14" s="22">
        <v>0</v>
      </c>
      <c r="BW14" s="22"/>
      <c r="BX14" s="22"/>
      <c r="BY14" s="22"/>
      <c r="BZ14" s="22"/>
      <c r="CA14" s="22"/>
      <c r="CB14" s="22"/>
      <c r="CC14" s="22">
        <v>360</v>
      </c>
      <c r="CD14" s="22">
        <v>18</v>
      </c>
      <c r="CE14" s="22">
        <v>156</v>
      </c>
      <c r="CF14" s="22">
        <v>0</v>
      </c>
      <c r="CG14" s="22">
        <v>0</v>
      </c>
      <c r="CH14" s="22">
        <v>0</v>
      </c>
      <c r="CI14" s="22">
        <v>0</v>
      </c>
      <c r="CJ14" s="22"/>
      <c r="CK14" s="22"/>
      <c r="CL14" s="22"/>
      <c r="CM14" s="22"/>
      <c r="CN14" s="22"/>
      <c r="CO14" s="22"/>
      <c r="CP14" s="22">
        <v>508</v>
      </c>
      <c r="CQ14">
        <v>25</v>
      </c>
      <c r="CR14" s="22">
        <v>198</v>
      </c>
      <c r="CS14" s="22">
        <v>1</v>
      </c>
      <c r="CT14" s="22">
        <v>0</v>
      </c>
      <c r="CU14" s="22">
        <v>1</v>
      </c>
      <c r="CV14" s="22">
        <v>0</v>
      </c>
      <c r="CW14" s="22"/>
      <c r="CX14" s="22"/>
      <c r="CY14" s="22"/>
      <c r="CZ14" s="22"/>
      <c r="DA14" s="22"/>
      <c r="DB14" s="22"/>
      <c r="DC14" s="22">
        <v>677</v>
      </c>
      <c r="DD14" s="22">
        <v>30.8</v>
      </c>
      <c r="DE14" s="22">
        <v>196</v>
      </c>
      <c r="DF14" s="22">
        <v>1</v>
      </c>
      <c r="DG14" s="22">
        <v>0</v>
      </c>
      <c r="DH14" s="22">
        <v>1</v>
      </c>
      <c r="DI14" s="22">
        <v>2</v>
      </c>
      <c r="DJ14" s="22"/>
      <c r="DK14" s="22"/>
      <c r="DL14" s="22"/>
      <c r="DM14" s="22"/>
      <c r="DN14" s="22"/>
      <c r="DO14" s="22"/>
      <c r="DP14" s="22">
        <v>842</v>
      </c>
      <c r="DQ14" s="22">
        <v>40</v>
      </c>
      <c r="DR14" s="22">
        <v>231</v>
      </c>
      <c r="DS14" s="22">
        <v>2</v>
      </c>
      <c r="DT14" s="22">
        <v>0</v>
      </c>
      <c r="DU14" s="22">
        <v>1</v>
      </c>
      <c r="DV14" s="22"/>
      <c r="DW14" s="22"/>
      <c r="DX14" s="22"/>
      <c r="DY14" s="22"/>
      <c r="DZ14" s="22"/>
      <c r="EA14" s="22"/>
      <c r="EB14" s="22"/>
      <c r="EC14" s="22">
        <v>395</v>
      </c>
      <c r="ED14" s="22">
        <v>21</v>
      </c>
      <c r="EE14" s="22">
        <v>156</v>
      </c>
      <c r="EF14" s="22">
        <v>1</v>
      </c>
      <c r="EG14" s="22">
        <v>0</v>
      </c>
      <c r="EH14" s="22">
        <v>2</v>
      </c>
      <c r="EI14" s="22">
        <v>0</v>
      </c>
      <c r="EJ14" s="22"/>
      <c r="EK14" s="22"/>
      <c r="EL14" s="22"/>
      <c r="EM14" s="22"/>
      <c r="EN14" s="22"/>
      <c r="EO14" s="22"/>
      <c r="EP14">
        <v>435</v>
      </c>
      <c r="EQ14">
        <v>20</v>
      </c>
      <c r="ER14">
        <v>200</v>
      </c>
      <c r="ES14">
        <v>0</v>
      </c>
      <c r="ET14">
        <v>0</v>
      </c>
      <c r="EU14">
        <v>1</v>
      </c>
      <c r="EV14">
        <v>0</v>
      </c>
      <c r="FC14">
        <v>8830</v>
      </c>
      <c r="FD14">
        <v>35.700000000000003</v>
      </c>
      <c r="FE14">
        <v>1954</v>
      </c>
      <c r="FF14">
        <v>16</v>
      </c>
      <c r="FG14">
        <v>0</v>
      </c>
      <c r="FH14">
        <v>17</v>
      </c>
      <c r="FI14">
        <v>6</v>
      </c>
    </row>
    <row r="15" spans="1:297">
      <c r="A15" s="49">
        <v>14</v>
      </c>
      <c r="B15" s="51" t="s">
        <v>253</v>
      </c>
      <c r="C15" s="22">
        <v>295</v>
      </c>
      <c r="D15" s="22">
        <v>22</v>
      </c>
      <c r="E15" s="22">
        <v>288</v>
      </c>
      <c r="F15" s="22">
        <v>228</v>
      </c>
      <c r="G15" s="22">
        <v>203</v>
      </c>
      <c r="H15" s="22">
        <v>2.1</v>
      </c>
      <c r="I15" s="22">
        <v>47.1</v>
      </c>
      <c r="J15" s="22">
        <v>2.4</v>
      </c>
      <c r="K15" s="22">
        <v>311</v>
      </c>
      <c r="L15" s="22">
        <v>100</v>
      </c>
      <c r="M15" s="22"/>
      <c r="N15" s="22"/>
      <c r="O15" s="22"/>
      <c r="P15" s="22">
        <v>231</v>
      </c>
      <c r="Q15" s="22">
        <v>17</v>
      </c>
      <c r="R15" s="22">
        <v>256</v>
      </c>
      <c r="S15" s="22">
        <v>174</v>
      </c>
      <c r="T15" s="22">
        <v>166</v>
      </c>
      <c r="U15" s="22">
        <v>1.79</v>
      </c>
      <c r="V15" s="22">
        <v>40.200000000000003</v>
      </c>
      <c r="W15" s="22">
        <v>2.4</v>
      </c>
      <c r="X15" s="22">
        <v>223</v>
      </c>
      <c r="Y15" s="22">
        <v>75</v>
      </c>
      <c r="Z15" s="22"/>
      <c r="AA15" s="22"/>
      <c r="AB15" s="22"/>
      <c r="AC15" s="22">
        <v>266</v>
      </c>
      <c r="AD15" s="22">
        <v>24</v>
      </c>
      <c r="AE15" s="22">
        <v>204</v>
      </c>
      <c r="AF15" s="22">
        <v>147</v>
      </c>
      <c r="AG15" s="22">
        <v>125</v>
      </c>
      <c r="AH15" s="22">
        <v>1.62</v>
      </c>
      <c r="AI15" s="22">
        <v>36.5</v>
      </c>
      <c r="AJ15" s="22">
        <v>4.4000000000000004</v>
      </c>
      <c r="AK15" s="22">
        <v>281</v>
      </c>
      <c r="AL15" s="22">
        <v>66</v>
      </c>
      <c r="AM15" s="22"/>
      <c r="AN15" s="22"/>
      <c r="AO15" s="22"/>
      <c r="AP15" s="22">
        <v>272</v>
      </c>
      <c r="AQ15" s="22">
        <v>27</v>
      </c>
      <c r="AR15" s="22">
        <v>203</v>
      </c>
      <c r="AS15" s="22">
        <v>154</v>
      </c>
      <c r="AT15" s="22">
        <v>124</v>
      </c>
      <c r="AU15" s="22">
        <v>1.58</v>
      </c>
      <c r="AV15" s="22">
        <v>35.5</v>
      </c>
      <c r="AW15" s="22">
        <v>2.5</v>
      </c>
      <c r="AX15" s="22">
        <v>292</v>
      </c>
      <c r="AY15" s="22">
        <v>43</v>
      </c>
      <c r="AZ15" s="22"/>
      <c r="BA15" s="22"/>
      <c r="BB15" s="22"/>
      <c r="BC15" s="22">
        <v>241</v>
      </c>
      <c r="BD15" s="22">
        <v>18</v>
      </c>
      <c r="BE15" s="22">
        <v>169</v>
      </c>
      <c r="BF15" s="22">
        <v>90</v>
      </c>
      <c r="BG15" s="22">
        <v>94</v>
      </c>
      <c r="BH15" s="22">
        <v>1.51</v>
      </c>
      <c r="BI15" s="22">
        <v>34</v>
      </c>
      <c r="BJ15" s="22">
        <v>2.2000000000000002</v>
      </c>
      <c r="BK15" s="22">
        <v>184</v>
      </c>
      <c r="BL15" s="22">
        <v>100</v>
      </c>
      <c r="BM15" s="22"/>
      <c r="BN15" s="22"/>
      <c r="BO15" s="22"/>
      <c r="BP15" s="22">
        <v>223</v>
      </c>
      <c r="BQ15" s="22">
        <v>24</v>
      </c>
      <c r="BR15" s="22">
        <v>246</v>
      </c>
      <c r="BS15" s="22">
        <v>145</v>
      </c>
      <c r="BT15" s="22">
        <v>113</v>
      </c>
      <c r="BU15" s="22">
        <v>1.6</v>
      </c>
      <c r="BV15" s="22">
        <v>35.799999999999997</v>
      </c>
      <c r="BW15" s="22">
        <v>1.9</v>
      </c>
      <c r="BX15" s="22">
        <v>176</v>
      </c>
      <c r="BY15" s="22">
        <v>50</v>
      </c>
      <c r="BZ15" s="22"/>
      <c r="CA15" s="22"/>
      <c r="CB15" s="22"/>
      <c r="CC15" s="22">
        <v>203</v>
      </c>
      <c r="CD15" s="22">
        <v>10</v>
      </c>
      <c r="CE15" s="22">
        <v>280</v>
      </c>
      <c r="CF15" s="22">
        <v>110</v>
      </c>
      <c r="CG15" s="22">
        <v>146</v>
      </c>
      <c r="CH15" s="22">
        <v>1.75</v>
      </c>
      <c r="CI15" s="22">
        <v>39.4</v>
      </c>
      <c r="CJ15" s="22">
        <v>4.7</v>
      </c>
      <c r="CK15" s="22">
        <v>185</v>
      </c>
      <c r="CL15" s="22">
        <v>100</v>
      </c>
      <c r="CM15" s="22"/>
      <c r="CN15" s="22"/>
      <c r="CO15" s="22"/>
      <c r="CP15" s="22">
        <v>210</v>
      </c>
      <c r="CQ15" s="22">
        <v>2</v>
      </c>
      <c r="CR15" s="22">
        <v>218</v>
      </c>
      <c r="CS15" s="22">
        <v>131</v>
      </c>
      <c r="CT15" s="22">
        <v>141</v>
      </c>
      <c r="CU15" s="22">
        <v>1.56</v>
      </c>
      <c r="CV15" s="22">
        <v>35.1</v>
      </c>
      <c r="CW15" s="22">
        <v>2.6</v>
      </c>
      <c r="CX15" s="22">
        <v>205</v>
      </c>
      <c r="CY15" s="22">
        <v>72</v>
      </c>
      <c r="CZ15" s="22"/>
      <c r="DA15" s="22"/>
      <c r="DB15" s="22"/>
      <c r="DC15" s="22">
        <v>313</v>
      </c>
      <c r="DD15" s="22">
        <v>6</v>
      </c>
      <c r="DE15" s="22">
        <v>242</v>
      </c>
      <c r="DF15" s="22">
        <v>154</v>
      </c>
      <c r="DG15" s="22">
        <v>142</v>
      </c>
      <c r="DH15" s="22">
        <v>1.66</v>
      </c>
      <c r="DI15" s="22">
        <v>37.299999999999997</v>
      </c>
      <c r="DJ15" s="22">
        <v>3</v>
      </c>
      <c r="DK15" s="22">
        <v>287</v>
      </c>
      <c r="DL15" s="22">
        <v>80</v>
      </c>
      <c r="DM15" s="22"/>
      <c r="DN15" s="22"/>
      <c r="DO15" s="22"/>
      <c r="DP15" s="22">
        <v>281</v>
      </c>
      <c r="DQ15">
        <v>25</v>
      </c>
      <c r="DR15">
        <v>207</v>
      </c>
      <c r="DS15" s="22">
        <v>212</v>
      </c>
      <c r="DT15" s="22">
        <v>109</v>
      </c>
      <c r="DU15" s="22">
        <v>1.76</v>
      </c>
      <c r="DV15" s="22">
        <v>39.700000000000003</v>
      </c>
      <c r="DW15" s="22">
        <v>5.0999999999999996</v>
      </c>
      <c r="DX15" s="22">
        <v>267</v>
      </c>
      <c r="DY15" s="22">
        <v>40</v>
      </c>
      <c r="EC15">
        <v>267</v>
      </c>
      <c r="ED15">
        <v>21</v>
      </c>
      <c r="EE15">
        <v>223</v>
      </c>
      <c r="EF15">
        <v>175</v>
      </c>
      <c r="EG15">
        <v>134</v>
      </c>
      <c r="EH15">
        <v>1.82</v>
      </c>
      <c r="EI15">
        <v>41</v>
      </c>
      <c r="EJ15">
        <v>2.9</v>
      </c>
      <c r="EK15">
        <v>242</v>
      </c>
      <c r="EL15">
        <v>92</v>
      </c>
      <c r="EP15">
        <v>309</v>
      </c>
      <c r="EQ15">
        <v>1</v>
      </c>
      <c r="ER15">
        <v>297</v>
      </c>
      <c r="ES15">
        <v>206</v>
      </c>
      <c r="ET15">
        <v>201</v>
      </c>
      <c r="EU15">
        <v>2.0499999999999998</v>
      </c>
      <c r="EV15">
        <v>46.1</v>
      </c>
      <c r="EW15">
        <v>3.5</v>
      </c>
      <c r="EX15">
        <v>269</v>
      </c>
      <c r="EY15">
        <v>90</v>
      </c>
      <c r="FC15">
        <v>3132</v>
      </c>
      <c r="FD15">
        <v>175</v>
      </c>
      <c r="FE15">
        <v>2905</v>
      </c>
      <c r="FF15">
        <v>2090</v>
      </c>
      <c r="FG15">
        <v>1675</v>
      </c>
      <c r="FH15">
        <v>1.86</v>
      </c>
      <c r="FI15">
        <v>41.2</v>
      </c>
      <c r="FJ15">
        <v>45.19</v>
      </c>
      <c r="FK15">
        <v>2950</v>
      </c>
      <c r="FL15">
        <v>100</v>
      </c>
    </row>
    <row r="16" spans="1:297">
      <c r="A16" s="49">
        <v>15</v>
      </c>
      <c r="B16" s="51" t="s">
        <v>255</v>
      </c>
      <c r="C16" s="22">
        <v>99</v>
      </c>
      <c r="D16" s="22">
        <v>99</v>
      </c>
      <c r="E16" s="22">
        <v>100</v>
      </c>
      <c r="F16" s="22">
        <v>60</v>
      </c>
      <c r="G16" s="22">
        <v>63</v>
      </c>
      <c r="H16" s="22"/>
      <c r="I16" s="22"/>
      <c r="J16" s="22"/>
      <c r="K16" s="22"/>
      <c r="L16" s="22"/>
      <c r="M16" s="22"/>
      <c r="N16" s="22"/>
      <c r="O16" s="22"/>
      <c r="P16" s="22">
        <v>100</v>
      </c>
      <c r="Q16" s="22">
        <v>99</v>
      </c>
      <c r="R16" s="22">
        <v>100</v>
      </c>
      <c r="S16" s="22">
        <v>54</v>
      </c>
      <c r="T16" s="22">
        <v>54</v>
      </c>
      <c r="U16" s="22"/>
      <c r="V16" s="22"/>
      <c r="W16" s="22"/>
      <c r="X16" s="22"/>
      <c r="Y16" s="22"/>
      <c r="Z16" s="22"/>
      <c r="AA16" s="22"/>
      <c r="AB16" s="22"/>
      <c r="AC16" s="22">
        <v>100</v>
      </c>
      <c r="AD16" s="22">
        <v>99</v>
      </c>
      <c r="AE16" s="22">
        <v>100</v>
      </c>
      <c r="AF16" s="22">
        <v>68</v>
      </c>
      <c r="AG16" s="22">
        <v>68</v>
      </c>
      <c r="AH16" s="22"/>
      <c r="AI16" s="22"/>
      <c r="AJ16" s="22"/>
      <c r="AK16" s="22"/>
      <c r="AL16" s="22"/>
      <c r="AM16" s="22"/>
      <c r="AN16" s="22"/>
      <c r="AO16" s="22"/>
      <c r="AP16" s="22">
        <v>100</v>
      </c>
      <c r="AQ16" s="22">
        <v>100</v>
      </c>
      <c r="AR16" s="22">
        <v>100</v>
      </c>
      <c r="AS16" s="22">
        <v>58</v>
      </c>
      <c r="AT16" s="22">
        <v>63</v>
      </c>
      <c r="AU16" s="22"/>
      <c r="AV16" s="22"/>
      <c r="AW16" s="22"/>
      <c r="AX16" s="22"/>
      <c r="AY16" s="22"/>
      <c r="AZ16" s="22"/>
      <c r="BA16" s="22"/>
      <c r="BB16" s="22"/>
      <c r="BC16" s="22">
        <v>100</v>
      </c>
      <c r="BD16" s="22">
        <v>100</v>
      </c>
      <c r="BE16" s="22">
        <v>100</v>
      </c>
      <c r="BF16" s="22">
        <v>63</v>
      </c>
      <c r="BG16" s="22">
        <v>63</v>
      </c>
      <c r="BH16" s="22"/>
      <c r="BI16" s="22"/>
      <c r="BJ16" s="22"/>
      <c r="BK16" s="22"/>
      <c r="BL16" s="22"/>
      <c r="BM16" s="22"/>
      <c r="BN16" s="22"/>
      <c r="BO16" s="22"/>
      <c r="BP16" s="22">
        <v>100</v>
      </c>
      <c r="BQ16" s="22">
        <v>99</v>
      </c>
      <c r="BR16" s="22">
        <v>99</v>
      </c>
      <c r="BS16" s="22">
        <v>67</v>
      </c>
      <c r="BT16" s="22">
        <v>67</v>
      </c>
      <c r="BU16" s="22"/>
      <c r="BV16" s="22"/>
      <c r="BW16" s="22"/>
      <c r="BX16" s="22"/>
      <c r="BY16" s="22"/>
      <c r="BZ16" s="22"/>
      <c r="CA16" s="22"/>
      <c r="CB16" s="22"/>
      <c r="CC16" s="22">
        <v>99</v>
      </c>
      <c r="CD16" s="22">
        <v>100</v>
      </c>
      <c r="CE16" s="22">
        <v>100</v>
      </c>
      <c r="CF16" s="22">
        <v>65</v>
      </c>
      <c r="CG16" s="22">
        <v>65</v>
      </c>
      <c r="CH16" s="22"/>
      <c r="CI16" s="22"/>
      <c r="CJ16" s="22"/>
      <c r="CK16" s="22"/>
      <c r="CL16" s="22"/>
      <c r="CM16" s="22"/>
      <c r="CN16" s="22"/>
      <c r="CO16" s="22"/>
      <c r="CP16" s="22">
        <v>99</v>
      </c>
      <c r="CQ16" s="22">
        <v>100</v>
      </c>
      <c r="CR16" s="22">
        <v>100</v>
      </c>
      <c r="CS16" s="22">
        <v>67</v>
      </c>
      <c r="CT16" s="22">
        <v>85</v>
      </c>
      <c r="CU16" s="22"/>
      <c r="CV16" s="22"/>
      <c r="CW16" s="22"/>
      <c r="CX16" s="22"/>
      <c r="CY16" s="22"/>
      <c r="CZ16" s="22"/>
      <c r="DA16" s="22"/>
      <c r="DB16" s="22"/>
      <c r="DC16" s="22">
        <v>100</v>
      </c>
      <c r="DD16" s="22">
        <v>100</v>
      </c>
      <c r="DE16" s="22">
        <v>100</v>
      </c>
      <c r="DF16" s="22">
        <v>53</v>
      </c>
      <c r="DG16" s="22">
        <v>63</v>
      </c>
      <c r="DH16" s="22"/>
      <c r="DI16" s="22"/>
      <c r="DJ16" s="22"/>
      <c r="DK16" s="22"/>
      <c r="DL16" s="22"/>
      <c r="DM16" s="22"/>
      <c r="DN16" s="22"/>
      <c r="DO16" s="22"/>
      <c r="DP16" s="22">
        <v>100</v>
      </c>
      <c r="DQ16">
        <v>100</v>
      </c>
      <c r="DR16">
        <v>100</v>
      </c>
      <c r="DS16" s="22">
        <v>81</v>
      </c>
      <c r="DT16" s="22">
        <v>81</v>
      </c>
      <c r="DU16" s="22">
        <v>16</v>
      </c>
      <c r="EC16">
        <v>100</v>
      </c>
      <c r="ED16">
        <v>100</v>
      </c>
      <c r="EE16">
        <v>100</v>
      </c>
      <c r="EF16">
        <v>62</v>
      </c>
      <c r="EG16">
        <v>62</v>
      </c>
      <c r="EH16">
        <v>13</v>
      </c>
      <c r="EP16">
        <v>100</v>
      </c>
      <c r="EQ16">
        <v>100</v>
      </c>
      <c r="ER16">
        <v>100</v>
      </c>
      <c r="ES16">
        <v>82</v>
      </c>
      <c r="ET16">
        <v>82</v>
      </c>
      <c r="EU16">
        <v>11</v>
      </c>
      <c r="FC16">
        <v>100</v>
      </c>
      <c r="FD16">
        <v>99.5</v>
      </c>
      <c r="FE16">
        <v>99.8</v>
      </c>
      <c r="FF16">
        <v>49.6</v>
      </c>
      <c r="FG16">
        <v>57.6</v>
      </c>
    </row>
    <row r="17" spans="1:168">
      <c r="A17" s="49">
        <v>16</v>
      </c>
      <c r="B17" s="51" t="s">
        <v>10</v>
      </c>
      <c r="C17" s="22">
        <v>102</v>
      </c>
      <c r="D17" s="22">
        <v>14.4</v>
      </c>
      <c r="E17" s="22">
        <v>219</v>
      </c>
      <c r="F17" s="22">
        <v>7.1</v>
      </c>
      <c r="G17" s="22">
        <v>235</v>
      </c>
      <c r="H17" s="22"/>
      <c r="I17" s="22"/>
      <c r="J17" s="22"/>
      <c r="K17" s="22"/>
      <c r="L17" s="22"/>
      <c r="M17" s="22"/>
      <c r="N17" s="22"/>
      <c r="O17" s="22"/>
      <c r="P17" s="22">
        <v>101</v>
      </c>
      <c r="Q17" s="22">
        <v>13.7</v>
      </c>
      <c r="R17" s="22">
        <v>231</v>
      </c>
      <c r="S17" s="22">
        <v>7.5</v>
      </c>
      <c r="T17" s="22">
        <v>228</v>
      </c>
      <c r="U17" s="22"/>
      <c r="V17" s="22"/>
      <c r="W17" s="22"/>
      <c r="X17" s="22"/>
      <c r="Y17" s="22"/>
      <c r="Z17" s="22"/>
      <c r="AA17" s="22"/>
      <c r="AB17" s="22"/>
      <c r="AC17" s="22">
        <v>87</v>
      </c>
      <c r="AD17" s="22">
        <v>12.7</v>
      </c>
      <c r="AE17" s="22">
        <v>206</v>
      </c>
      <c r="AF17" s="22">
        <v>6.9</v>
      </c>
      <c r="AG17" s="22">
        <v>207</v>
      </c>
      <c r="AH17" s="22">
        <v>82.5</v>
      </c>
      <c r="AI17" s="22"/>
      <c r="AJ17" s="22"/>
      <c r="AK17" s="22"/>
      <c r="AL17" s="22"/>
      <c r="AM17" s="22"/>
      <c r="AN17" s="22"/>
      <c r="AO17" s="22"/>
      <c r="AP17" s="22">
        <v>89</v>
      </c>
      <c r="AQ17" s="22">
        <v>11.4</v>
      </c>
      <c r="AR17" s="22">
        <v>241</v>
      </c>
      <c r="AS17" s="22">
        <v>7.8</v>
      </c>
      <c r="AT17" s="22">
        <v>230</v>
      </c>
      <c r="AU17" s="22">
        <v>83.6</v>
      </c>
      <c r="AV17" s="22"/>
      <c r="AW17" s="22"/>
      <c r="AX17" s="22"/>
      <c r="AY17" s="22"/>
      <c r="AZ17" s="22"/>
      <c r="BA17" s="22"/>
      <c r="BB17" s="22"/>
      <c r="BC17" s="22">
        <v>100</v>
      </c>
      <c r="BD17" s="22">
        <v>13.9</v>
      </c>
      <c r="BE17" s="22">
        <v>216</v>
      </c>
      <c r="BF17" s="22">
        <v>7.2</v>
      </c>
      <c r="BG17" s="22">
        <v>203</v>
      </c>
      <c r="BH17" s="22">
        <v>81.099999999999994</v>
      </c>
      <c r="BI17" s="22"/>
      <c r="BJ17" s="22"/>
      <c r="BK17" s="22"/>
      <c r="BL17" s="22"/>
      <c r="BM17" s="22"/>
      <c r="BN17" s="22"/>
      <c r="BO17" s="22"/>
      <c r="BP17" s="22">
        <v>97</v>
      </c>
      <c r="BQ17" s="22">
        <v>14.1</v>
      </c>
      <c r="BR17" s="22">
        <v>214</v>
      </c>
      <c r="BS17" s="22">
        <v>6.9</v>
      </c>
      <c r="BT17" s="22">
        <v>240</v>
      </c>
      <c r="BU17" s="22">
        <v>76</v>
      </c>
      <c r="BV17" s="22"/>
      <c r="BW17" s="22"/>
      <c r="BX17" s="22"/>
      <c r="BY17" s="22"/>
      <c r="BZ17" s="22"/>
      <c r="CA17" s="22"/>
      <c r="CB17" s="22"/>
      <c r="CC17" s="22">
        <v>91</v>
      </c>
      <c r="CD17" s="22">
        <v>14.1</v>
      </c>
      <c r="CE17" s="22">
        <v>201</v>
      </c>
      <c r="CF17" s="22">
        <v>6.5</v>
      </c>
      <c r="CG17" s="22">
        <v>187</v>
      </c>
      <c r="CH17" s="22">
        <v>72</v>
      </c>
      <c r="CI17" s="22"/>
      <c r="CJ17" s="22"/>
      <c r="CK17" s="22"/>
      <c r="CL17" s="22"/>
      <c r="CM17" s="22"/>
      <c r="CN17" s="22"/>
      <c r="CO17" s="22"/>
      <c r="CP17" s="22">
        <v>100</v>
      </c>
      <c r="CQ17" s="22">
        <v>17.2</v>
      </c>
      <c r="CR17" s="22">
        <v>180</v>
      </c>
      <c r="CS17" s="22">
        <v>5.8</v>
      </c>
      <c r="CT17" s="22">
        <v>191</v>
      </c>
      <c r="CU17" s="22">
        <v>68</v>
      </c>
      <c r="CV17" s="22"/>
      <c r="CW17" s="22"/>
      <c r="CX17" s="22"/>
      <c r="CY17" s="22"/>
      <c r="CZ17" s="22"/>
      <c r="DA17" s="22"/>
      <c r="DB17" s="22"/>
      <c r="DC17" s="22">
        <v>86.9</v>
      </c>
      <c r="DD17" s="22">
        <v>12.6</v>
      </c>
      <c r="DE17" s="22">
        <v>213</v>
      </c>
      <c r="DF17" s="22">
        <v>6.9</v>
      </c>
      <c r="DG17" s="22">
        <v>222</v>
      </c>
      <c r="DH17" s="22">
        <v>81.8</v>
      </c>
      <c r="DI17" s="22"/>
      <c r="DJ17" s="22"/>
      <c r="DK17" s="22"/>
      <c r="DL17" s="22"/>
      <c r="DM17" s="22"/>
      <c r="DN17" s="22"/>
      <c r="DO17" s="22"/>
      <c r="DP17" s="22">
        <v>93.1</v>
      </c>
      <c r="DQ17" s="22">
        <v>11.9</v>
      </c>
      <c r="DR17" s="22">
        <v>233</v>
      </c>
      <c r="DS17" s="22">
        <v>7.8</v>
      </c>
      <c r="DT17" s="22">
        <v>215</v>
      </c>
      <c r="DU17" s="22">
        <v>85</v>
      </c>
      <c r="DV17" s="22"/>
      <c r="DW17" s="22"/>
      <c r="DX17" s="22"/>
      <c r="DY17" s="22"/>
      <c r="DZ17" s="22"/>
      <c r="EA17" s="22"/>
      <c r="EC17" s="22">
        <v>96.6</v>
      </c>
      <c r="ED17" s="22">
        <v>12.5</v>
      </c>
      <c r="EE17" s="22">
        <v>240</v>
      </c>
      <c r="EF17" s="22">
        <v>7.7</v>
      </c>
      <c r="EG17" s="22">
        <v>245</v>
      </c>
      <c r="EH17" s="22">
        <v>81.400000000000006</v>
      </c>
      <c r="EI17" s="22"/>
      <c r="EJ17" s="22"/>
      <c r="EK17" s="22"/>
      <c r="EL17" s="22"/>
      <c r="EM17" s="22"/>
      <c r="EN17" s="22"/>
      <c r="EP17">
        <v>94.4</v>
      </c>
      <c r="EQ17">
        <v>12</v>
      </c>
      <c r="ER17">
        <v>236</v>
      </c>
      <c r="ES17">
        <v>7.9</v>
      </c>
      <c r="ET17">
        <v>241</v>
      </c>
      <c r="EU17">
        <v>79.8</v>
      </c>
      <c r="FC17">
        <v>92.6</v>
      </c>
      <c r="FD17">
        <v>8.6</v>
      </c>
      <c r="FE17">
        <v>2231</v>
      </c>
      <c r="FF17">
        <v>6.2</v>
      </c>
      <c r="FG17">
        <v>2280</v>
      </c>
      <c r="FH17">
        <v>81</v>
      </c>
    </row>
    <row r="18" spans="1:168">
      <c r="A18" s="49">
        <v>17</v>
      </c>
      <c r="B18" s="51" t="s">
        <v>11</v>
      </c>
      <c r="C18" s="22">
        <v>27342</v>
      </c>
      <c r="D18" s="22">
        <v>15833</v>
      </c>
      <c r="E18" s="22">
        <v>1696</v>
      </c>
      <c r="F18" s="22">
        <v>3555</v>
      </c>
      <c r="G18" s="22">
        <v>17870</v>
      </c>
      <c r="H18" s="22">
        <v>3142</v>
      </c>
      <c r="I18" s="22">
        <v>3.6</v>
      </c>
      <c r="J18" s="22">
        <v>4.3</v>
      </c>
      <c r="K18" s="22">
        <v>4.57</v>
      </c>
      <c r="L18" s="22"/>
      <c r="M18" s="22"/>
      <c r="N18" s="22"/>
      <c r="O18" s="22"/>
      <c r="P18" s="22">
        <v>20766</v>
      </c>
      <c r="Q18" s="22">
        <v>12385</v>
      </c>
      <c r="R18" s="22">
        <v>530</v>
      </c>
      <c r="S18" s="22">
        <v>3184</v>
      </c>
      <c r="T18" s="22">
        <v>14976</v>
      </c>
      <c r="U18" s="22">
        <v>3072</v>
      </c>
      <c r="V18" s="22">
        <v>3.3</v>
      </c>
      <c r="W18" s="22">
        <v>3.9</v>
      </c>
      <c r="X18" s="22">
        <v>4.91</v>
      </c>
      <c r="Y18" s="22"/>
      <c r="Z18" s="22"/>
      <c r="AA18" s="22"/>
      <c r="AB18" s="22"/>
      <c r="AC18" s="22">
        <v>20113</v>
      </c>
      <c r="AD18" s="22">
        <v>11605</v>
      </c>
      <c r="AE18" s="22">
        <v>579</v>
      </c>
      <c r="AF18" s="22">
        <v>3011</v>
      </c>
      <c r="AG18" s="22">
        <v>14056</v>
      </c>
      <c r="AH18" s="22">
        <v>2964</v>
      </c>
      <c r="AI18" s="22">
        <v>3.2</v>
      </c>
      <c r="AJ18" s="22">
        <v>3.8</v>
      </c>
      <c r="AK18" s="22">
        <v>5.14</v>
      </c>
      <c r="AL18" s="22"/>
      <c r="AM18" s="22"/>
      <c r="AN18" s="22"/>
      <c r="AO18" s="22"/>
      <c r="AP18" s="22">
        <v>21075</v>
      </c>
      <c r="AQ18" s="22">
        <v>12465</v>
      </c>
      <c r="AR18" s="22">
        <v>2614</v>
      </c>
      <c r="AS18" s="22">
        <v>3401</v>
      </c>
      <c r="AT18" s="22">
        <v>15789</v>
      </c>
      <c r="AU18" s="22">
        <v>2953</v>
      </c>
      <c r="AV18" s="22">
        <v>3.2</v>
      </c>
      <c r="AW18" s="22">
        <v>3.8</v>
      </c>
      <c r="AX18" s="22">
        <v>5.13</v>
      </c>
      <c r="AY18" s="22"/>
      <c r="AZ18" s="22"/>
      <c r="BA18" s="22"/>
      <c r="BB18" s="22"/>
      <c r="BC18" s="22">
        <v>18108</v>
      </c>
      <c r="BD18" s="22">
        <v>10532</v>
      </c>
      <c r="BE18" s="22">
        <v>494</v>
      </c>
      <c r="BF18" s="22">
        <v>2750</v>
      </c>
      <c r="BG18" s="22">
        <v>12833</v>
      </c>
      <c r="BH18" s="22">
        <v>2717</v>
      </c>
      <c r="BI18" s="22">
        <v>3.1</v>
      </c>
      <c r="BJ18" s="22">
        <v>3.7</v>
      </c>
      <c r="BK18" s="22">
        <v>5.32</v>
      </c>
      <c r="BL18" s="22"/>
      <c r="BM18" s="22"/>
      <c r="BN18" s="22"/>
      <c r="BO18" s="22"/>
      <c r="BP18" s="22">
        <v>17070</v>
      </c>
      <c r="BQ18" s="22">
        <v>9735</v>
      </c>
      <c r="BR18" s="22">
        <v>267</v>
      </c>
      <c r="BS18" s="22">
        <v>2805</v>
      </c>
      <c r="BT18" s="22">
        <v>10963</v>
      </c>
      <c r="BU18" s="22">
        <v>2687</v>
      </c>
      <c r="BV18" s="22">
        <v>2.9</v>
      </c>
      <c r="BW18" s="22">
        <v>3.5</v>
      </c>
      <c r="BX18" s="22">
        <v>5.54</v>
      </c>
      <c r="BY18" s="22"/>
      <c r="BZ18" s="22"/>
      <c r="CA18" s="22"/>
      <c r="CB18" s="22"/>
      <c r="CC18" s="22">
        <v>18357</v>
      </c>
      <c r="CD18" s="22">
        <v>10520</v>
      </c>
      <c r="CE18" s="22">
        <v>448</v>
      </c>
      <c r="CF18" s="22">
        <v>2900</v>
      </c>
      <c r="CG18" s="22">
        <v>13136</v>
      </c>
      <c r="CH18" s="22">
        <v>2970</v>
      </c>
      <c r="CI18" s="22">
        <v>2.9</v>
      </c>
      <c r="CJ18" s="22">
        <v>3.5</v>
      </c>
      <c r="CK18" s="22">
        <v>5.6</v>
      </c>
      <c r="CL18" s="22"/>
      <c r="CM18" s="22"/>
      <c r="CN18" s="22"/>
      <c r="CO18" s="22"/>
      <c r="CP18" s="22">
        <v>18423</v>
      </c>
      <c r="CQ18" s="22">
        <v>10572</v>
      </c>
      <c r="CR18" s="22">
        <v>607</v>
      </c>
      <c r="CS18" s="22">
        <v>2731</v>
      </c>
      <c r="CT18" s="22">
        <v>11410</v>
      </c>
      <c r="CU18" s="22">
        <v>2881</v>
      </c>
      <c r="CV18" s="22">
        <v>2.8</v>
      </c>
      <c r="CW18" s="22">
        <v>3.4</v>
      </c>
      <c r="CX18" s="22">
        <v>5.72</v>
      </c>
      <c r="CY18" s="22"/>
      <c r="CZ18" s="22"/>
      <c r="DA18" s="22"/>
      <c r="DB18" s="22"/>
      <c r="DC18" s="22">
        <v>20864</v>
      </c>
      <c r="DD18" s="22">
        <v>11939</v>
      </c>
      <c r="DE18" s="22">
        <v>528</v>
      </c>
      <c r="DF18" s="22">
        <v>3147</v>
      </c>
      <c r="DG18" s="22">
        <v>14994</v>
      </c>
      <c r="DH18" s="22">
        <v>3138</v>
      </c>
      <c r="DI18" s="22">
        <v>2.8</v>
      </c>
      <c r="DJ18" s="22">
        <v>3.4</v>
      </c>
      <c r="DK18" s="22">
        <v>5.67</v>
      </c>
      <c r="DL18" s="22"/>
      <c r="DM18" s="22"/>
      <c r="DN18" s="22"/>
      <c r="DO18" s="22"/>
      <c r="DP18" s="22">
        <v>17208</v>
      </c>
      <c r="DQ18" s="22">
        <v>10001</v>
      </c>
      <c r="DR18" s="22">
        <v>577</v>
      </c>
      <c r="DS18" s="22">
        <v>2710</v>
      </c>
      <c r="DT18" s="22">
        <v>14543</v>
      </c>
      <c r="DU18" s="22">
        <v>2946</v>
      </c>
      <c r="DV18" s="22">
        <v>2.9</v>
      </c>
      <c r="DW18" s="22">
        <v>3.4</v>
      </c>
      <c r="DX18" s="22">
        <v>5.65</v>
      </c>
      <c r="DY18" s="22"/>
      <c r="EC18" s="22">
        <v>16819</v>
      </c>
      <c r="ED18" s="22">
        <v>9676</v>
      </c>
      <c r="EE18" s="22">
        <v>371</v>
      </c>
      <c r="EF18" s="22">
        <v>2820</v>
      </c>
      <c r="EG18" s="22">
        <v>13347</v>
      </c>
      <c r="EH18" s="22">
        <v>3167</v>
      </c>
      <c r="EI18" s="22">
        <v>2.8</v>
      </c>
      <c r="EJ18" s="22">
        <v>3.4</v>
      </c>
      <c r="EK18" s="22">
        <v>5.68</v>
      </c>
      <c r="EP18">
        <v>20034</v>
      </c>
      <c r="EQ18">
        <v>11350</v>
      </c>
      <c r="ER18">
        <v>1258</v>
      </c>
      <c r="ES18">
        <v>3060</v>
      </c>
      <c r="ET18">
        <v>16072</v>
      </c>
      <c r="EU18">
        <v>3549</v>
      </c>
      <c r="EV18">
        <v>2.9</v>
      </c>
      <c r="EW18">
        <v>3.5</v>
      </c>
      <c r="EX18">
        <v>5.59</v>
      </c>
      <c r="FC18">
        <v>226615</v>
      </c>
      <c r="FD18">
        <v>129293</v>
      </c>
      <c r="FE18">
        <v>10859</v>
      </c>
      <c r="FF18">
        <v>34716</v>
      </c>
      <c r="FG18">
        <v>160273</v>
      </c>
      <c r="FH18">
        <v>26286</v>
      </c>
      <c r="FI18">
        <v>2.7</v>
      </c>
      <c r="FJ18">
        <v>3.07</v>
      </c>
      <c r="FK18">
        <v>7.59</v>
      </c>
    </row>
    <row r="19" spans="1:168">
      <c r="A19" s="49">
        <v>18</v>
      </c>
      <c r="B19" s="51" t="s">
        <v>466</v>
      </c>
      <c r="K19" s="22"/>
      <c r="L19" s="22"/>
      <c r="M19" s="22"/>
      <c r="N19" s="22"/>
      <c r="O19" s="22"/>
      <c r="P19" s="22">
        <v>8</v>
      </c>
      <c r="Q19" s="22">
        <v>5</v>
      </c>
      <c r="R19" s="22">
        <v>5</v>
      </c>
      <c r="S19" s="22">
        <v>1</v>
      </c>
      <c r="T19" s="22">
        <v>20</v>
      </c>
      <c r="U19" s="22">
        <v>0</v>
      </c>
      <c r="V19" s="22">
        <v>143</v>
      </c>
      <c r="W19" s="22"/>
      <c r="X19" s="22"/>
      <c r="Y19" s="22"/>
      <c r="Z19" s="22"/>
      <c r="AA19" s="22"/>
      <c r="AB19" s="22"/>
      <c r="AC19" s="22">
        <v>11</v>
      </c>
      <c r="AD19" s="22">
        <v>9</v>
      </c>
      <c r="AE19" s="22">
        <v>10</v>
      </c>
      <c r="AF19" s="22">
        <v>0</v>
      </c>
      <c r="AG19" s="22">
        <v>6.7</v>
      </c>
      <c r="AH19" s="22">
        <v>0</v>
      </c>
      <c r="AI19" s="22">
        <v>95</v>
      </c>
      <c r="AJ19" s="22"/>
      <c r="AK19" s="22"/>
      <c r="AL19" s="22"/>
      <c r="AM19" s="22"/>
      <c r="AN19" s="22"/>
      <c r="AO19" s="22"/>
      <c r="AP19" s="22">
        <v>9</v>
      </c>
      <c r="AQ19" s="22">
        <v>9</v>
      </c>
      <c r="AR19" s="22">
        <v>9</v>
      </c>
      <c r="AS19" s="22">
        <v>0</v>
      </c>
      <c r="AT19" s="22">
        <v>4.2</v>
      </c>
      <c r="AU19" s="22">
        <v>0</v>
      </c>
      <c r="AV19" s="22">
        <v>161</v>
      </c>
      <c r="AW19" s="22"/>
      <c r="AX19" s="22"/>
      <c r="AY19" s="22"/>
      <c r="AZ19" s="22"/>
      <c r="BA19" s="22"/>
      <c r="BB19" s="22"/>
      <c r="BC19" s="22">
        <v>10</v>
      </c>
      <c r="BD19" s="22">
        <v>4</v>
      </c>
      <c r="BE19" s="22">
        <v>4</v>
      </c>
      <c r="BF19" s="22">
        <v>0</v>
      </c>
      <c r="BG19" s="22">
        <v>3.6</v>
      </c>
      <c r="BH19" s="22">
        <v>0</v>
      </c>
      <c r="BI19" s="22">
        <v>116</v>
      </c>
      <c r="BJ19" s="22"/>
      <c r="BK19" s="22"/>
      <c r="BL19" s="22"/>
      <c r="BM19" s="22"/>
      <c r="BN19" s="22"/>
      <c r="BO19" s="22"/>
      <c r="BP19" s="22">
        <v>10</v>
      </c>
      <c r="BQ19" s="22">
        <v>5</v>
      </c>
      <c r="BR19" s="22">
        <v>5</v>
      </c>
      <c r="BS19" s="22">
        <v>0</v>
      </c>
      <c r="BT19" s="22">
        <v>3</v>
      </c>
      <c r="BU19" s="22">
        <v>0</v>
      </c>
      <c r="BV19" s="22">
        <v>93</v>
      </c>
      <c r="BW19" s="22"/>
      <c r="BX19" s="22"/>
      <c r="BY19" s="22"/>
      <c r="BZ19" s="22"/>
      <c r="CA19" s="22"/>
      <c r="CB19" s="22"/>
      <c r="CC19" s="22">
        <v>14</v>
      </c>
      <c r="CD19" s="22">
        <v>3</v>
      </c>
      <c r="CE19" s="22">
        <v>3</v>
      </c>
      <c r="CF19" s="22">
        <v>0</v>
      </c>
      <c r="CG19" s="22">
        <v>2.8</v>
      </c>
      <c r="CH19" s="22">
        <v>0</v>
      </c>
      <c r="CI19" s="22">
        <v>93</v>
      </c>
      <c r="CJ19" s="22"/>
      <c r="CK19" s="22"/>
      <c r="CL19" s="22"/>
      <c r="CM19" s="22"/>
      <c r="CN19" s="22"/>
      <c r="CO19" s="22"/>
      <c r="CP19" s="22">
        <v>19</v>
      </c>
      <c r="CQ19" s="22">
        <v>1</v>
      </c>
      <c r="CR19" s="22">
        <v>2</v>
      </c>
      <c r="CS19" s="22">
        <v>0</v>
      </c>
      <c r="CT19" s="22">
        <v>2.7</v>
      </c>
      <c r="CU19" s="22">
        <v>0</v>
      </c>
      <c r="CV19" s="22">
        <v>28</v>
      </c>
      <c r="CW19" s="22"/>
      <c r="CX19" s="22"/>
      <c r="CY19" s="22"/>
      <c r="CZ19" s="22"/>
      <c r="DA19" s="22"/>
      <c r="DB19" s="22"/>
      <c r="DC19" s="22">
        <v>16</v>
      </c>
      <c r="DD19" s="22">
        <v>3</v>
      </c>
      <c r="DE19" s="22">
        <v>3</v>
      </c>
      <c r="DF19" s="22">
        <v>0</v>
      </c>
      <c r="DG19" s="22">
        <v>2.5</v>
      </c>
      <c r="DH19" s="22">
        <v>0</v>
      </c>
      <c r="DI19" s="22">
        <v>31</v>
      </c>
      <c r="DJ19" s="22"/>
      <c r="DK19" s="22"/>
      <c r="DL19" s="22"/>
      <c r="DM19" s="22"/>
      <c r="DN19" s="22"/>
      <c r="DO19" s="22"/>
      <c r="DP19" s="22">
        <v>12</v>
      </c>
      <c r="DQ19">
        <v>5</v>
      </c>
      <c r="DR19">
        <v>5</v>
      </c>
      <c r="DS19" s="22">
        <v>0</v>
      </c>
      <c r="DT19" s="22">
        <v>2.2000000000000002</v>
      </c>
      <c r="DU19" s="22">
        <v>0</v>
      </c>
      <c r="DV19" s="22">
        <v>30</v>
      </c>
      <c r="DW19" s="22"/>
      <c r="DX19" s="22"/>
      <c r="DY19" s="22"/>
      <c r="EC19">
        <v>17</v>
      </c>
      <c r="ED19">
        <v>2</v>
      </c>
      <c r="EE19">
        <v>2</v>
      </c>
      <c r="EF19">
        <v>0</v>
      </c>
      <c r="EG19">
        <v>2.1</v>
      </c>
      <c r="EH19">
        <v>0</v>
      </c>
      <c r="EI19">
        <v>31</v>
      </c>
      <c r="EP19">
        <v>3</v>
      </c>
      <c r="EQ19">
        <v>3</v>
      </c>
      <c r="ER19">
        <v>2</v>
      </c>
      <c r="ES19">
        <v>0</v>
      </c>
      <c r="ET19">
        <v>2</v>
      </c>
      <c r="EU19">
        <v>0</v>
      </c>
      <c r="EV19">
        <v>48</v>
      </c>
    </row>
    <row r="20" spans="1:168">
      <c r="A20" s="49">
        <v>19</v>
      </c>
      <c r="B20" s="51" t="s">
        <v>257</v>
      </c>
      <c r="C20" s="22">
        <v>5</v>
      </c>
      <c r="D20" s="22">
        <v>1</v>
      </c>
      <c r="E20" s="22">
        <v>7</v>
      </c>
      <c r="F20" s="22">
        <v>0</v>
      </c>
      <c r="G20" s="22">
        <v>280</v>
      </c>
      <c r="H20" s="22">
        <v>18</v>
      </c>
      <c r="I20" s="22">
        <v>143</v>
      </c>
      <c r="J20" s="22">
        <v>100</v>
      </c>
      <c r="K20" s="22">
        <v>45</v>
      </c>
      <c r="L20" s="22">
        <v>100</v>
      </c>
      <c r="M20" s="22">
        <v>16</v>
      </c>
      <c r="N20" s="22"/>
      <c r="O20" s="22"/>
      <c r="P20" s="22">
        <v>4</v>
      </c>
      <c r="Q20" s="22">
        <v>2</v>
      </c>
      <c r="R20" s="22">
        <v>14</v>
      </c>
      <c r="S20" s="22">
        <v>2</v>
      </c>
      <c r="T20" s="22">
        <v>301</v>
      </c>
      <c r="U20" s="22">
        <v>14</v>
      </c>
      <c r="V20" s="22">
        <v>150</v>
      </c>
      <c r="W20" s="22">
        <v>100</v>
      </c>
      <c r="X20" s="22">
        <v>44</v>
      </c>
      <c r="Y20" s="22">
        <v>100</v>
      </c>
      <c r="Z20" s="22">
        <v>32</v>
      </c>
      <c r="AA20" s="22"/>
      <c r="AB20" s="22"/>
      <c r="AC20" s="22">
        <v>16</v>
      </c>
      <c r="AD20" s="22">
        <v>0</v>
      </c>
      <c r="AE20" s="22">
        <v>12</v>
      </c>
      <c r="AF20" s="22">
        <v>0</v>
      </c>
      <c r="AG20" s="22">
        <v>339</v>
      </c>
      <c r="AH20" s="22">
        <v>15</v>
      </c>
      <c r="AI20" s="22">
        <v>171</v>
      </c>
      <c r="AJ20" s="22">
        <v>100</v>
      </c>
      <c r="AK20" s="22">
        <v>63</v>
      </c>
      <c r="AL20" s="22">
        <v>100</v>
      </c>
      <c r="AM20" s="22">
        <v>18</v>
      </c>
      <c r="AN20" s="22"/>
      <c r="AO20" s="22"/>
      <c r="AP20" s="22">
        <v>20</v>
      </c>
      <c r="AQ20" s="22">
        <v>0</v>
      </c>
      <c r="AR20" s="22">
        <v>10</v>
      </c>
      <c r="AS20" s="22">
        <v>1</v>
      </c>
      <c r="AT20" s="22">
        <v>348</v>
      </c>
      <c r="AU20" s="22">
        <v>37</v>
      </c>
      <c r="AV20" s="22">
        <v>125</v>
      </c>
      <c r="AW20" s="22">
        <v>100</v>
      </c>
      <c r="AX20" s="22">
        <v>56</v>
      </c>
      <c r="AY20" s="22">
        <v>100</v>
      </c>
      <c r="AZ20" s="22">
        <v>21</v>
      </c>
      <c r="BA20" s="22"/>
      <c r="BB20" s="22"/>
      <c r="BC20" s="22">
        <v>12</v>
      </c>
      <c r="BD20" s="22">
        <v>0</v>
      </c>
      <c r="BE20" s="22">
        <v>8</v>
      </c>
      <c r="BF20" s="22">
        <v>0</v>
      </c>
      <c r="BG20" s="22">
        <v>291</v>
      </c>
      <c r="BH20" s="22">
        <v>9</v>
      </c>
      <c r="BI20" s="22">
        <v>52</v>
      </c>
      <c r="BJ20" s="22">
        <v>100</v>
      </c>
      <c r="BK20" s="22">
        <v>28</v>
      </c>
      <c r="BL20" s="22">
        <v>100</v>
      </c>
      <c r="BM20" s="22">
        <v>14</v>
      </c>
      <c r="BN20" s="22"/>
      <c r="BO20" s="22"/>
      <c r="BP20" s="22">
        <v>11</v>
      </c>
      <c r="BQ20" s="22">
        <v>0</v>
      </c>
      <c r="BR20" s="22">
        <v>7</v>
      </c>
      <c r="BS20" s="22">
        <v>0</v>
      </c>
      <c r="BT20" s="22">
        <v>376</v>
      </c>
      <c r="BU20" s="22">
        <v>34</v>
      </c>
      <c r="BV20" s="22">
        <v>204</v>
      </c>
      <c r="BW20" s="22">
        <v>100</v>
      </c>
      <c r="BX20" s="22">
        <v>30</v>
      </c>
      <c r="BY20" s="22">
        <v>100</v>
      </c>
      <c r="BZ20" s="22">
        <v>7</v>
      </c>
      <c r="CA20" s="22"/>
      <c r="CB20" s="22"/>
      <c r="CC20" s="22">
        <v>14</v>
      </c>
      <c r="CD20" s="22">
        <v>0</v>
      </c>
      <c r="CE20" s="22">
        <v>17</v>
      </c>
      <c r="CF20" s="22">
        <v>0</v>
      </c>
      <c r="CG20" s="22">
        <v>368</v>
      </c>
      <c r="CH20" s="22">
        <v>30</v>
      </c>
      <c r="CI20" s="22">
        <v>180</v>
      </c>
      <c r="CJ20" s="22">
        <v>100</v>
      </c>
      <c r="CK20" s="22">
        <v>27</v>
      </c>
      <c r="CL20" s="22">
        <v>100</v>
      </c>
      <c r="CM20" s="22">
        <v>3</v>
      </c>
      <c r="CN20" s="22"/>
      <c r="CO20" s="22"/>
      <c r="CP20" s="22">
        <v>7</v>
      </c>
      <c r="CQ20" s="22">
        <v>0</v>
      </c>
      <c r="CR20" s="22">
        <v>5</v>
      </c>
      <c r="CS20" s="22">
        <v>3</v>
      </c>
      <c r="CT20" s="22">
        <v>362</v>
      </c>
      <c r="CU20" s="22">
        <v>37</v>
      </c>
      <c r="CV20" s="22">
        <v>168</v>
      </c>
      <c r="CW20" s="22">
        <v>100</v>
      </c>
      <c r="CX20" s="22">
        <v>40</v>
      </c>
      <c r="CY20" s="22">
        <v>100</v>
      </c>
      <c r="CZ20" s="22">
        <v>1</v>
      </c>
      <c r="DA20" s="22"/>
      <c r="DB20" s="22"/>
      <c r="DC20" s="22">
        <v>7</v>
      </c>
      <c r="DD20" s="22">
        <v>0</v>
      </c>
      <c r="DE20" s="22">
        <v>13</v>
      </c>
      <c r="DF20" s="22">
        <v>5</v>
      </c>
      <c r="DG20" s="22">
        <v>440</v>
      </c>
      <c r="DH20" s="22">
        <v>28</v>
      </c>
      <c r="DI20" s="22">
        <v>186</v>
      </c>
      <c r="DJ20" s="22">
        <v>100</v>
      </c>
      <c r="DK20" s="22">
        <v>43</v>
      </c>
      <c r="DL20" s="22">
        <v>100</v>
      </c>
      <c r="DM20" s="22">
        <v>26</v>
      </c>
      <c r="DN20" s="22"/>
      <c r="DO20" s="22"/>
      <c r="DP20" s="22">
        <v>8</v>
      </c>
      <c r="DQ20" s="22">
        <v>0</v>
      </c>
      <c r="DR20" s="22">
        <v>12</v>
      </c>
      <c r="DS20" s="22">
        <v>0</v>
      </c>
      <c r="DT20" s="22">
        <v>443</v>
      </c>
      <c r="DU20" s="22">
        <v>22</v>
      </c>
      <c r="DV20" s="22">
        <v>179</v>
      </c>
      <c r="DW20" s="22">
        <v>100</v>
      </c>
      <c r="DX20" s="22">
        <v>53</v>
      </c>
      <c r="DY20" s="22">
        <v>100</v>
      </c>
      <c r="DZ20" s="22">
        <v>28</v>
      </c>
      <c r="EC20" s="22">
        <v>14</v>
      </c>
      <c r="ED20" s="22">
        <v>0</v>
      </c>
      <c r="EE20" s="22">
        <v>19</v>
      </c>
      <c r="EF20" s="22">
        <v>2</v>
      </c>
      <c r="EG20" s="22">
        <v>414</v>
      </c>
      <c r="EH20" s="22">
        <v>32</v>
      </c>
      <c r="EI20" s="22">
        <v>180</v>
      </c>
      <c r="EJ20" s="22">
        <v>100</v>
      </c>
      <c r="EK20" s="22">
        <v>39</v>
      </c>
      <c r="EL20" s="22">
        <v>100</v>
      </c>
      <c r="EM20" s="22">
        <v>35</v>
      </c>
      <c r="EP20" s="22">
        <v>14</v>
      </c>
      <c r="EQ20" s="22">
        <v>1</v>
      </c>
      <c r="ER20" s="22">
        <v>14</v>
      </c>
      <c r="ES20" s="22">
        <v>2</v>
      </c>
      <c r="ET20" s="22">
        <v>409</v>
      </c>
      <c r="EU20" s="22">
        <v>28</v>
      </c>
      <c r="EV20" s="22">
        <v>216</v>
      </c>
      <c r="EW20" s="22">
        <v>100</v>
      </c>
      <c r="EX20" s="22">
        <v>61</v>
      </c>
      <c r="EY20" s="22">
        <v>100</v>
      </c>
      <c r="EZ20" s="22">
        <v>24</v>
      </c>
      <c r="FC20">
        <v>116</v>
      </c>
      <c r="FD20">
        <v>6</v>
      </c>
      <c r="FE20">
        <v>88</v>
      </c>
      <c r="FF20">
        <v>63</v>
      </c>
      <c r="FG20">
        <v>2755</v>
      </c>
      <c r="FH20">
        <v>274</v>
      </c>
      <c r="FI20">
        <v>1258</v>
      </c>
      <c r="FJ20">
        <v>100</v>
      </c>
      <c r="FK20">
        <v>466</v>
      </c>
      <c r="FL20">
        <v>100</v>
      </c>
    </row>
    <row r="21" spans="1:168">
      <c r="A21" s="49">
        <v>20</v>
      </c>
      <c r="B21" s="51" t="s">
        <v>12</v>
      </c>
      <c r="C21" s="22">
        <v>182</v>
      </c>
      <c r="D21" s="22">
        <v>106</v>
      </c>
      <c r="E21" s="22">
        <v>493</v>
      </c>
      <c r="F21" s="22">
        <v>98</v>
      </c>
      <c r="G21" s="22">
        <v>8.3000000000000007</v>
      </c>
      <c r="H21" s="22">
        <v>15596</v>
      </c>
      <c r="I21" s="22">
        <v>13126</v>
      </c>
      <c r="J21" s="22"/>
      <c r="K21" s="22"/>
      <c r="L21" s="22"/>
      <c r="M21" s="22"/>
      <c r="N21" s="22"/>
      <c r="O21" s="22"/>
      <c r="P21" s="22">
        <v>173</v>
      </c>
      <c r="Q21" s="22">
        <v>156</v>
      </c>
      <c r="R21" s="22">
        <v>463</v>
      </c>
      <c r="S21" s="22">
        <v>114</v>
      </c>
      <c r="T21" s="22">
        <v>8.1999999999999993</v>
      </c>
      <c r="U21" s="22">
        <v>16885</v>
      </c>
      <c r="V21" s="22">
        <v>17920</v>
      </c>
      <c r="W21" s="22"/>
      <c r="X21" s="22"/>
      <c r="Y21" s="22"/>
      <c r="Z21" s="22"/>
      <c r="AA21" s="22"/>
      <c r="AB21" s="22"/>
      <c r="AC21" s="22">
        <v>153</v>
      </c>
      <c r="AD21" s="22">
        <v>156</v>
      </c>
      <c r="AE21" s="22">
        <v>375</v>
      </c>
      <c r="AF21" s="22">
        <v>99</v>
      </c>
      <c r="AG21" s="22">
        <v>7.3</v>
      </c>
      <c r="AH21" s="22">
        <v>15793</v>
      </c>
      <c r="AI21" s="22">
        <v>25958</v>
      </c>
      <c r="AJ21" s="22"/>
      <c r="AK21" s="22"/>
      <c r="AL21" s="22"/>
      <c r="AM21" s="22"/>
      <c r="AN21" s="22"/>
      <c r="AO21" s="22"/>
      <c r="AP21" s="22">
        <v>202</v>
      </c>
      <c r="AQ21" s="22">
        <v>150</v>
      </c>
      <c r="AR21" s="22">
        <v>404</v>
      </c>
      <c r="AS21" s="22">
        <v>92</v>
      </c>
      <c r="AT21" s="22">
        <v>9.1999999999999993</v>
      </c>
      <c r="AU21" s="22">
        <v>20456</v>
      </c>
      <c r="AV21" s="22">
        <v>20314</v>
      </c>
      <c r="AW21" s="22"/>
      <c r="AX21" s="22"/>
      <c r="AY21" s="22"/>
      <c r="AZ21" s="22"/>
      <c r="BA21" s="22"/>
      <c r="BB21" s="22"/>
      <c r="BC21" s="22">
        <v>181</v>
      </c>
      <c r="BD21" s="22">
        <v>122</v>
      </c>
      <c r="BE21" s="22">
        <v>345</v>
      </c>
      <c r="BF21" s="22">
        <v>97</v>
      </c>
      <c r="BG21" s="22">
        <v>10.1</v>
      </c>
      <c r="BH21" s="22">
        <v>18173</v>
      </c>
      <c r="BI21" s="22">
        <v>20944</v>
      </c>
      <c r="BJ21" s="22"/>
      <c r="BK21" s="22"/>
      <c r="BL21" s="22"/>
      <c r="BM21" s="22"/>
      <c r="BN21" s="22"/>
      <c r="BO21" s="22"/>
      <c r="BP21" s="22">
        <v>184</v>
      </c>
      <c r="BQ21" s="22">
        <v>152</v>
      </c>
      <c r="BR21" s="22">
        <v>405</v>
      </c>
      <c r="BS21" s="22">
        <v>78</v>
      </c>
      <c r="BT21" s="22">
        <v>8.8000000000000007</v>
      </c>
      <c r="BU21" s="22">
        <v>20690</v>
      </c>
      <c r="BV21" s="22">
        <v>17385</v>
      </c>
      <c r="BW21" s="22"/>
      <c r="BX21" s="22"/>
      <c r="BY21" s="22"/>
      <c r="BZ21" s="22"/>
      <c r="CA21" s="22"/>
      <c r="CB21" s="22"/>
      <c r="CC21" s="22">
        <v>130</v>
      </c>
      <c r="CD21" s="22">
        <v>96</v>
      </c>
      <c r="CE21" s="22">
        <v>433</v>
      </c>
      <c r="CF21" s="22">
        <v>80</v>
      </c>
      <c r="CG21" s="22">
        <v>6.8</v>
      </c>
      <c r="CH21" s="22">
        <v>16024</v>
      </c>
      <c r="CI21" s="22">
        <v>8613</v>
      </c>
      <c r="CJ21" s="22"/>
      <c r="CK21" s="22"/>
      <c r="CL21" s="22"/>
      <c r="CM21" s="22"/>
      <c r="CN21" s="22"/>
      <c r="CO21" s="22"/>
      <c r="CP21" s="22">
        <v>150</v>
      </c>
      <c r="CQ21" s="22">
        <v>118</v>
      </c>
      <c r="CR21" s="22">
        <v>479</v>
      </c>
      <c r="CS21" s="22">
        <v>86</v>
      </c>
      <c r="CT21" s="22">
        <v>7.5</v>
      </c>
      <c r="CU21" s="22">
        <v>17906</v>
      </c>
      <c r="CV21" s="22">
        <v>13234</v>
      </c>
      <c r="CW21" s="22"/>
      <c r="CX21" s="22"/>
      <c r="CY21" s="22"/>
      <c r="CZ21" s="22"/>
      <c r="DA21" s="22"/>
      <c r="DB21" s="22"/>
      <c r="DC21" s="22">
        <v>186</v>
      </c>
      <c r="DD21" s="22">
        <v>144</v>
      </c>
      <c r="DE21" s="22">
        <v>573</v>
      </c>
      <c r="DF21" s="22">
        <v>90</v>
      </c>
      <c r="DG21" s="22">
        <v>8.1</v>
      </c>
      <c r="DH21" s="22">
        <v>20806</v>
      </c>
      <c r="DI21" s="22">
        <v>14559</v>
      </c>
      <c r="DJ21" s="22"/>
      <c r="DK21" s="22"/>
      <c r="DL21" s="22"/>
      <c r="DM21" s="22"/>
      <c r="DN21" s="22"/>
      <c r="DO21" s="22"/>
      <c r="DP21" s="22">
        <v>150</v>
      </c>
      <c r="DQ21">
        <v>143</v>
      </c>
      <c r="DR21">
        <v>507</v>
      </c>
      <c r="DS21" s="22">
        <v>144</v>
      </c>
      <c r="DT21" s="22">
        <v>7.1</v>
      </c>
      <c r="DU21" s="22">
        <v>21021</v>
      </c>
      <c r="DV21" s="22">
        <v>18476</v>
      </c>
      <c r="EC21">
        <v>156</v>
      </c>
      <c r="ED21">
        <v>144</v>
      </c>
      <c r="EE21">
        <v>446</v>
      </c>
      <c r="EF21">
        <v>113</v>
      </c>
      <c r="EG21">
        <v>7.8</v>
      </c>
      <c r="EH21">
        <v>19768</v>
      </c>
      <c r="EI21">
        <v>21303</v>
      </c>
      <c r="EP21">
        <v>183</v>
      </c>
      <c r="EQ21">
        <v>155</v>
      </c>
      <c r="ER21">
        <v>457</v>
      </c>
      <c r="ES21">
        <v>80</v>
      </c>
      <c r="ET21">
        <v>8.3000000000000007</v>
      </c>
      <c r="EU21">
        <v>22753</v>
      </c>
      <c r="EV21">
        <v>24781</v>
      </c>
      <c r="FC21">
        <v>2602</v>
      </c>
      <c r="FD21">
        <v>1583</v>
      </c>
      <c r="FE21">
        <v>5721</v>
      </c>
      <c r="FF21">
        <v>999</v>
      </c>
      <c r="FG21">
        <v>10.5</v>
      </c>
      <c r="FH21">
        <v>220560</v>
      </c>
      <c r="FI21">
        <v>237163</v>
      </c>
    </row>
    <row r="22" spans="1:168" ht="12" customHeight="1">
      <c r="A22" s="49">
        <v>21</v>
      </c>
      <c r="B22" s="51" t="s">
        <v>74</v>
      </c>
      <c r="C22" s="22">
        <v>11</v>
      </c>
      <c r="D22" s="22">
        <v>10</v>
      </c>
      <c r="E22" s="22">
        <v>16</v>
      </c>
      <c r="F22" s="22">
        <v>115</v>
      </c>
      <c r="G22" s="22"/>
      <c r="H22" s="22"/>
      <c r="I22" s="22"/>
      <c r="J22" s="22"/>
      <c r="K22" s="22"/>
      <c r="L22" s="22"/>
      <c r="M22" s="22"/>
      <c r="N22" s="22"/>
      <c r="O22" s="22"/>
      <c r="P22" s="22">
        <v>7</v>
      </c>
      <c r="Q22" s="22">
        <v>6</v>
      </c>
      <c r="R22" s="22">
        <v>9</v>
      </c>
      <c r="S22" s="22">
        <v>126</v>
      </c>
      <c r="T22" s="22"/>
      <c r="U22" s="22"/>
      <c r="V22" s="22"/>
      <c r="W22" s="22"/>
      <c r="X22" s="22"/>
      <c r="Y22" s="22"/>
      <c r="Z22" s="22"/>
      <c r="AA22" s="22"/>
      <c r="AB22" s="22"/>
      <c r="AC22" s="22">
        <v>0</v>
      </c>
      <c r="AD22" s="22">
        <v>4</v>
      </c>
      <c r="AE22" s="22">
        <v>4</v>
      </c>
      <c r="AF22" s="22">
        <v>140</v>
      </c>
      <c r="AG22" s="22"/>
      <c r="AH22" s="22"/>
      <c r="AI22" s="22"/>
      <c r="AJ22" s="22"/>
      <c r="AK22" s="22"/>
      <c r="AL22" s="22"/>
      <c r="AM22" s="22"/>
      <c r="AN22" s="22"/>
      <c r="AO22" s="22"/>
      <c r="AP22" s="22">
        <v>11</v>
      </c>
      <c r="AQ22" s="22">
        <v>6</v>
      </c>
      <c r="AR22" s="22">
        <v>5</v>
      </c>
      <c r="AS22" s="22">
        <v>121</v>
      </c>
      <c r="AT22" s="22"/>
      <c r="AU22" s="22"/>
      <c r="AV22" s="22"/>
      <c r="AW22" s="22"/>
      <c r="AX22" s="22"/>
      <c r="AY22" s="22"/>
      <c r="AZ22" s="22"/>
      <c r="BA22" s="22"/>
      <c r="BB22" s="22"/>
      <c r="BC22" s="22">
        <v>8</v>
      </c>
      <c r="BD22" s="22">
        <v>3</v>
      </c>
      <c r="BE22" s="22">
        <v>1</v>
      </c>
      <c r="BF22" s="22">
        <v>71</v>
      </c>
      <c r="BG22" s="22"/>
      <c r="BH22" s="22"/>
      <c r="BI22" s="22"/>
      <c r="BJ22" s="22"/>
      <c r="BK22" s="22"/>
      <c r="BL22" s="22"/>
      <c r="BM22" s="22"/>
      <c r="BN22" s="22"/>
      <c r="BO22" s="22"/>
      <c r="BP22" s="22">
        <v>2</v>
      </c>
      <c r="BQ22" s="22">
        <v>3</v>
      </c>
      <c r="BR22" s="22">
        <v>3</v>
      </c>
      <c r="BS22" s="22">
        <v>138</v>
      </c>
      <c r="BT22" s="22"/>
      <c r="BU22" s="22"/>
      <c r="BV22" s="22"/>
      <c r="BW22" s="22"/>
      <c r="BX22" s="22"/>
      <c r="BY22" s="22"/>
      <c r="BZ22" s="22"/>
      <c r="CA22" s="22"/>
      <c r="CB22" s="22"/>
      <c r="CC22" s="22">
        <v>2</v>
      </c>
      <c r="CD22" s="22">
        <v>3</v>
      </c>
      <c r="CE22" s="22">
        <v>2</v>
      </c>
      <c r="CF22" s="22">
        <v>136</v>
      </c>
      <c r="CG22" s="22">
        <v>0</v>
      </c>
      <c r="CH22" s="22"/>
      <c r="CI22" s="22"/>
      <c r="CJ22" s="22"/>
      <c r="CK22" s="22"/>
      <c r="CL22" s="22"/>
      <c r="CM22" s="22"/>
      <c r="CN22" s="22"/>
      <c r="CO22" s="22"/>
      <c r="CP22" s="22">
        <v>6</v>
      </c>
      <c r="CQ22" s="22">
        <v>7</v>
      </c>
      <c r="CR22" s="22">
        <v>5</v>
      </c>
      <c r="CS22" s="22">
        <v>114</v>
      </c>
      <c r="CT22" s="22"/>
      <c r="CU22" s="22"/>
      <c r="CV22" s="22"/>
      <c r="CW22" s="22"/>
      <c r="CX22" s="22"/>
      <c r="CY22" s="22"/>
      <c r="CZ22" s="22"/>
      <c r="DA22" s="22"/>
      <c r="DB22" s="22"/>
      <c r="DC22" s="22">
        <v>10</v>
      </c>
      <c r="DD22" s="22">
        <v>6</v>
      </c>
      <c r="DE22" s="22">
        <v>6</v>
      </c>
      <c r="DF22" s="22">
        <v>127</v>
      </c>
      <c r="DG22" s="22">
        <v>0</v>
      </c>
      <c r="DH22" s="22"/>
      <c r="DI22" s="22"/>
      <c r="DJ22" s="22"/>
      <c r="DK22" s="22"/>
      <c r="DL22" s="22"/>
      <c r="DM22" s="22"/>
      <c r="DN22" s="22"/>
      <c r="DO22" s="22"/>
      <c r="DP22" s="22">
        <v>15</v>
      </c>
      <c r="DQ22">
        <v>9</v>
      </c>
      <c r="DR22">
        <v>11</v>
      </c>
      <c r="DS22" s="22">
        <v>117</v>
      </c>
      <c r="DT22" s="22"/>
      <c r="DU22" s="22"/>
      <c r="DV22" s="22"/>
      <c r="EC22">
        <v>2</v>
      </c>
      <c r="ED22">
        <v>12</v>
      </c>
      <c r="EE22">
        <v>4</v>
      </c>
      <c r="EF22">
        <v>76</v>
      </c>
      <c r="EP22">
        <v>5</v>
      </c>
      <c r="EQ22">
        <v>5</v>
      </c>
      <c r="ER22">
        <v>9</v>
      </c>
      <c r="ES22">
        <v>122</v>
      </c>
    </row>
    <row r="23" spans="1:168">
      <c r="A23" s="49">
        <v>22</v>
      </c>
      <c r="B23" s="51" t="s">
        <v>259</v>
      </c>
      <c r="C23" s="22">
        <v>30546</v>
      </c>
      <c r="D23" s="22">
        <v>5432</v>
      </c>
      <c r="E23" s="22">
        <v>1610</v>
      </c>
      <c r="F23" s="22">
        <v>3.78</v>
      </c>
      <c r="G23" s="22">
        <v>0.17</v>
      </c>
      <c r="H23" s="22">
        <v>11.65</v>
      </c>
      <c r="I23" s="22">
        <v>2.0699999999999998</v>
      </c>
      <c r="J23" s="22"/>
      <c r="K23" s="22"/>
      <c r="L23" s="22"/>
      <c r="M23" s="22"/>
      <c r="N23" s="22"/>
      <c r="O23" s="22"/>
      <c r="P23" s="22">
        <v>29282</v>
      </c>
      <c r="Q23" s="22">
        <v>4930</v>
      </c>
      <c r="R23" s="22">
        <v>1570</v>
      </c>
      <c r="S23" s="22">
        <v>3.14</v>
      </c>
      <c r="T23" s="22">
        <v>0.17</v>
      </c>
      <c r="U23" s="22">
        <v>9.1199999999999992</v>
      </c>
      <c r="V23" s="22">
        <v>1.54</v>
      </c>
      <c r="W23" s="22"/>
      <c r="X23" s="22"/>
      <c r="Y23" s="22"/>
      <c r="Z23" s="22"/>
      <c r="AA23" s="22"/>
      <c r="AB23" s="22"/>
      <c r="AC23" s="22">
        <v>29800</v>
      </c>
      <c r="AD23" s="22">
        <v>5731</v>
      </c>
      <c r="AE23" s="22">
        <v>1632</v>
      </c>
      <c r="AF23" s="22">
        <v>3.51</v>
      </c>
      <c r="AG23" s="22">
        <v>0.19</v>
      </c>
      <c r="AH23" s="22">
        <v>8.1300000000000008</v>
      </c>
      <c r="AI23" s="22">
        <v>1.56</v>
      </c>
      <c r="AJ23" s="22"/>
      <c r="AK23" s="22"/>
      <c r="AL23" s="22"/>
      <c r="AM23" s="22"/>
      <c r="AN23" s="22"/>
      <c r="AO23" s="22"/>
      <c r="AP23" s="22">
        <v>31238</v>
      </c>
      <c r="AQ23" s="22">
        <v>5784</v>
      </c>
      <c r="AR23" s="22">
        <v>1686</v>
      </c>
      <c r="AS23" s="22">
        <v>3.43</v>
      </c>
      <c r="AT23" s="22">
        <v>0.19</v>
      </c>
      <c r="AU23" s="22">
        <v>9.68</v>
      </c>
      <c r="AV23" s="22">
        <v>1.79</v>
      </c>
      <c r="AW23" s="22"/>
      <c r="AX23" s="22"/>
      <c r="AY23" s="22"/>
      <c r="AZ23" s="22"/>
      <c r="BA23" s="22"/>
      <c r="BB23" s="22"/>
      <c r="BC23" s="22">
        <v>26278</v>
      </c>
      <c r="BD23" s="22">
        <v>4990</v>
      </c>
      <c r="BE23" s="22">
        <v>1411</v>
      </c>
      <c r="BF23" s="22">
        <v>3.54</v>
      </c>
      <c r="BG23" s="22">
        <v>0.19</v>
      </c>
      <c r="BH23" s="22">
        <v>9.42</v>
      </c>
      <c r="BI23" s="22">
        <v>1.78</v>
      </c>
      <c r="BJ23" s="22"/>
      <c r="BK23" s="22"/>
      <c r="BL23" s="22"/>
      <c r="BM23" s="22"/>
      <c r="BN23" s="22"/>
      <c r="BO23" s="22"/>
      <c r="BP23" s="22">
        <v>27597</v>
      </c>
      <c r="BQ23" s="22">
        <v>5123</v>
      </c>
      <c r="BR23" s="22">
        <v>1506</v>
      </c>
      <c r="BS23" s="22">
        <v>3.4</v>
      </c>
      <c r="BT23" s="22">
        <v>0.19</v>
      </c>
      <c r="BU23" s="22">
        <v>9.86</v>
      </c>
      <c r="BV23" s="22">
        <v>1.83</v>
      </c>
      <c r="BW23" s="22"/>
      <c r="BX23" s="22"/>
      <c r="BY23" s="22"/>
      <c r="BZ23" s="22"/>
      <c r="CA23" s="22"/>
      <c r="CB23" s="22"/>
      <c r="CC23" s="22">
        <v>27221</v>
      </c>
      <c r="CD23" s="22">
        <v>5184</v>
      </c>
      <c r="CE23" s="22">
        <v>1449</v>
      </c>
      <c r="CF23" s="22">
        <v>3.6</v>
      </c>
      <c r="CG23" s="22">
        <v>0.19</v>
      </c>
      <c r="CH23" s="22">
        <v>7.75</v>
      </c>
      <c r="CI23" s="22">
        <v>1.48</v>
      </c>
      <c r="CJ23" s="22"/>
      <c r="CK23" s="22"/>
      <c r="CL23" s="22"/>
      <c r="CM23" s="22"/>
      <c r="CN23" s="22"/>
      <c r="CO23" s="22"/>
      <c r="CP23" s="22">
        <v>28386</v>
      </c>
      <c r="CQ23" s="22">
        <v>5215</v>
      </c>
      <c r="CR23" s="22">
        <v>1515</v>
      </c>
      <c r="CS23" s="22">
        <v>3.4</v>
      </c>
      <c r="CT23" s="22">
        <v>0.18</v>
      </c>
      <c r="CU23" s="22">
        <v>8.39</v>
      </c>
      <c r="CV23" s="22">
        <v>1.54</v>
      </c>
      <c r="CW23" s="22"/>
      <c r="CX23" s="22"/>
      <c r="CY23" s="22"/>
      <c r="CZ23" s="22"/>
      <c r="DA23" s="22"/>
      <c r="DB23" s="22"/>
      <c r="DC23" s="22">
        <v>33772</v>
      </c>
      <c r="DD23" s="22">
        <v>6479</v>
      </c>
      <c r="DE23" s="22">
        <v>1821</v>
      </c>
      <c r="DF23" s="22">
        <v>3.6</v>
      </c>
      <c r="DG23" s="22">
        <v>0.19</v>
      </c>
      <c r="DH23" s="22">
        <v>7.38</v>
      </c>
      <c r="DI23" s="22">
        <v>1.42</v>
      </c>
      <c r="DJ23" s="22"/>
      <c r="DK23" s="22"/>
      <c r="DL23" s="22"/>
      <c r="DM23" s="22"/>
      <c r="DN23" s="22"/>
      <c r="DO23" s="22"/>
      <c r="DP23" s="22">
        <v>29209</v>
      </c>
      <c r="DQ23">
        <v>4831</v>
      </c>
      <c r="DR23">
        <v>1610</v>
      </c>
      <c r="DS23" s="22">
        <v>3</v>
      </c>
      <c r="DT23" s="22">
        <v>0.17</v>
      </c>
      <c r="DU23" s="22">
        <v>13.6</v>
      </c>
      <c r="DV23" s="22">
        <v>2.25</v>
      </c>
      <c r="EC23">
        <v>27315</v>
      </c>
      <c r="ED23">
        <v>4890</v>
      </c>
      <c r="EE23">
        <v>1511</v>
      </c>
      <c r="EF23">
        <v>3.23</v>
      </c>
      <c r="EG23">
        <v>0.18</v>
      </c>
      <c r="EH23">
        <v>8.98</v>
      </c>
      <c r="EI23">
        <v>1.61</v>
      </c>
      <c r="EP23">
        <v>30365</v>
      </c>
      <c r="EQ23">
        <v>5257</v>
      </c>
      <c r="ER23">
        <v>1671</v>
      </c>
      <c r="ES23">
        <v>3.14</v>
      </c>
      <c r="ET23">
        <v>0.17</v>
      </c>
      <c r="EU23">
        <v>8.31</v>
      </c>
      <c r="EV23">
        <v>1.44</v>
      </c>
      <c r="FC23">
        <v>365715</v>
      </c>
      <c r="FD23">
        <v>66657</v>
      </c>
      <c r="FE23">
        <v>18056</v>
      </c>
      <c r="FF23">
        <v>3.71</v>
      </c>
      <c r="FG23">
        <v>0.18</v>
      </c>
      <c r="FH23">
        <v>8.69</v>
      </c>
      <c r="FI23">
        <v>1.6</v>
      </c>
    </row>
    <row r="24" spans="1:168">
      <c r="A24" s="49">
        <v>23</v>
      </c>
      <c r="B24" s="51" t="s">
        <v>13</v>
      </c>
      <c r="C24" s="22">
        <v>1112</v>
      </c>
      <c r="D24" s="22">
        <v>6</v>
      </c>
      <c r="E24" s="22">
        <v>70</v>
      </c>
      <c r="F24" s="22">
        <v>7</v>
      </c>
      <c r="G24" s="22">
        <v>33.299999999999997</v>
      </c>
      <c r="H24" s="22">
        <v>656</v>
      </c>
      <c r="I24" s="22">
        <v>113</v>
      </c>
      <c r="J24" s="22">
        <v>32</v>
      </c>
      <c r="K24" s="22">
        <v>22</v>
      </c>
      <c r="L24" s="22">
        <v>35.799999999999997</v>
      </c>
      <c r="M24" s="22"/>
      <c r="N24" s="22"/>
      <c r="O24" s="22"/>
      <c r="P24" s="22">
        <v>1127</v>
      </c>
      <c r="Q24" s="22">
        <v>8</v>
      </c>
      <c r="R24" s="22">
        <v>74</v>
      </c>
      <c r="S24" s="22">
        <v>14</v>
      </c>
      <c r="T24" s="22">
        <v>30.7</v>
      </c>
      <c r="U24" s="22">
        <v>469</v>
      </c>
      <c r="V24" s="22">
        <v>138</v>
      </c>
      <c r="W24" s="22">
        <v>26</v>
      </c>
      <c r="X24" s="22">
        <v>21</v>
      </c>
      <c r="Y24" s="22">
        <v>36.299999999999997</v>
      </c>
      <c r="Z24" s="22"/>
      <c r="AA24" s="22"/>
      <c r="AB24" s="22"/>
      <c r="AC24" s="22">
        <v>958</v>
      </c>
      <c r="AD24" s="22">
        <v>4</v>
      </c>
      <c r="AE24" s="22">
        <v>46</v>
      </c>
      <c r="AF24" s="22">
        <v>6</v>
      </c>
      <c r="AG24" s="22">
        <v>31</v>
      </c>
      <c r="AH24" s="22">
        <v>592</v>
      </c>
      <c r="AI24" s="22">
        <v>98</v>
      </c>
      <c r="AJ24" s="22">
        <v>18</v>
      </c>
      <c r="AK24" s="22">
        <v>21</v>
      </c>
      <c r="AL24" s="22">
        <v>31.9</v>
      </c>
      <c r="AM24" s="22"/>
      <c r="AN24" s="22"/>
      <c r="AO24" s="22"/>
      <c r="AP24" s="22">
        <v>957</v>
      </c>
      <c r="AQ24" s="22">
        <v>4</v>
      </c>
      <c r="AR24" s="22">
        <v>46</v>
      </c>
      <c r="AS24" s="22">
        <v>8</v>
      </c>
      <c r="AT24" s="22">
        <v>31</v>
      </c>
      <c r="AU24" s="22">
        <v>656</v>
      </c>
      <c r="AV24" s="22">
        <v>93</v>
      </c>
      <c r="AW24" s="22">
        <v>32</v>
      </c>
      <c r="AX24" s="22">
        <v>22</v>
      </c>
      <c r="AY24" s="22">
        <v>30.8</v>
      </c>
      <c r="AZ24" s="22"/>
      <c r="BA24" s="22"/>
      <c r="BB24" s="22"/>
      <c r="BC24" s="22">
        <v>1057</v>
      </c>
      <c r="BD24" s="22">
        <v>11</v>
      </c>
      <c r="BE24" s="22">
        <v>50</v>
      </c>
      <c r="BF24" s="22">
        <v>0</v>
      </c>
      <c r="BG24" s="22">
        <v>30</v>
      </c>
      <c r="BH24" s="22">
        <v>516</v>
      </c>
      <c r="BI24" s="22">
        <v>120</v>
      </c>
      <c r="BJ24" s="22">
        <v>25</v>
      </c>
      <c r="BK24" s="22">
        <v>17</v>
      </c>
      <c r="BL24" s="22">
        <v>35.200000000000003</v>
      </c>
      <c r="BM24" s="22"/>
      <c r="BN24" s="22"/>
      <c r="BO24" s="22"/>
      <c r="BP24" s="22">
        <v>1090</v>
      </c>
      <c r="BQ24" s="22">
        <v>3</v>
      </c>
      <c r="BR24" s="22">
        <v>58</v>
      </c>
      <c r="BS24" s="22">
        <v>1</v>
      </c>
      <c r="BT24" s="22">
        <v>30</v>
      </c>
      <c r="BU24" s="22">
        <v>472</v>
      </c>
      <c r="BV24" s="22">
        <v>197</v>
      </c>
      <c r="BW24" s="22">
        <v>40</v>
      </c>
      <c r="BX24" s="22">
        <v>21</v>
      </c>
      <c r="BY24" s="22">
        <v>35.200000000000003</v>
      </c>
      <c r="BZ24" s="22"/>
      <c r="CA24" s="22"/>
      <c r="CB24" s="22"/>
      <c r="CC24" s="22">
        <v>946</v>
      </c>
      <c r="CD24" s="22">
        <v>5</v>
      </c>
      <c r="CE24" s="22">
        <v>39</v>
      </c>
      <c r="CF24" s="22">
        <v>3</v>
      </c>
      <c r="CG24" s="22">
        <v>30</v>
      </c>
      <c r="CH24" s="22">
        <v>569</v>
      </c>
      <c r="CI24" s="22">
        <v>267</v>
      </c>
      <c r="CJ24" s="22">
        <v>26</v>
      </c>
      <c r="CK24" s="22">
        <v>19</v>
      </c>
      <c r="CL24" s="22">
        <v>30.5</v>
      </c>
      <c r="CM24" s="22"/>
      <c r="CN24" s="22"/>
      <c r="CO24" s="22"/>
      <c r="CP24" s="22">
        <v>807</v>
      </c>
      <c r="CQ24" s="22">
        <v>3</v>
      </c>
      <c r="CR24" s="22">
        <v>56</v>
      </c>
      <c r="CS24" s="22">
        <v>2</v>
      </c>
      <c r="CT24" s="22">
        <v>29.6</v>
      </c>
      <c r="CU24" s="22">
        <v>609</v>
      </c>
      <c r="CV24" s="22">
        <v>252</v>
      </c>
      <c r="CW24" s="22">
        <v>41</v>
      </c>
      <c r="CX24" s="22">
        <v>20</v>
      </c>
      <c r="CY24" s="22">
        <v>28.8</v>
      </c>
      <c r="CZ24" s="22"/>
      <c r="DA24" s="22"/>
      <c r="DB24" s="22"/>
      <c r="DC24" s="22">
        <v>1152</v>
      </c>
      <c r="DD24" s="22">
        <v>5</v>
      </c>
      <c r="DE24" s="22">
        <v>83</v>
      </c>
      <c r="DF24" s="22">
        <v>4</v>
      </c>
      <c r="DG24" s="22">
        <v>28.5</v>
      </c>
      <c r="DH24" s="22">
        <v>380</v>
      </c>
      <c r="DI24" s="22">
        <v>206</v>
      </c>
      <c r="DJ24" s="22">
        <v>52</v>
      </c>
      <c r="DK24" s="22">
        <v>23</v>
      </c>
      <c r="DL24" s="22">
        <v>37.200000000000003</v>
      </c>
      <c r="DM24" s="22"/>
      <c r="DN24" s="22"/>
      <c r="DO24" s="22"/>
      <c r="DP24" s="22">
        <v>1011</v>
      </c>
      <c r="DQ24">
        <v>3</v>
      </c>
      <c r="DR24">
        <v>52</v>
      </c>
      <c r="DS24" s="22">
        <v>2</v>
      </c>
      <c r="DT24" s="22">
        <v>28.9</v>
      </c>
      <c r="DU24" s="22">
        <v>522</v>
      </c>
      <c r="DV24" s="22">
        <v>152</v>
      </c>
      <c r="DW24" s="22">
        <v>42</v>
      </c>
      <c r="DX24" s="22">
        <v>20</v>
      </c>
      <c r="DY24" s="22">
        <v>33.700000000000003</v>
      </c>
      <c r="EC24">
        <v>1091</v>
      </c>
      <c r="ED24">
        <v>7</v>
      </c>
      <c r="EE24">
        <v>66</v>
      </c>
      <c r="EF24">
        <v>3</v>
      </c>
      <c r="EG24">
        <v>28.4</v>
      </c>
      <c r="EH24">
        <v>488</v>
      </c>
      <c r="EI24">
        <v>154</v>
      </c>
      <c r="EJ24">
        <v>26</v>
      </c>
      <c r="EK24">
        <v>20</v>
      </c>
      <c r="EL24">
        <v>35.200000000000003</v>
      </c>
      <c r="EP24">
        <v>1159</v>
      </c>
      <c r="EQ24">
        <v>8</v>
      </c>
      <c r="ER24">
        <v>74</v>
      </c>
      <c r="ES24">
        <v>4</v>
      </c>
      <c r="ET24">
        <v>26.3</v>
      </c>
      <c r="EU24">
        <v>421</v>
      </c>
      <c r="EV24">
        <v>89</v>
      </c>
      <c r="EW24">
        <v>29</v>
      </c>
      <c r="EX24">
        <v>19</v>
      </c>
      <c r="EY24">
        <v>38.6</v>
      </c>
      <c r="FC24">
        <v>12642</v>
      </c>
      <c r="FD24">
        <v>136</v>
      </c>
      <c r="FE24">
        <v>952</v>
      </c>
      <c r="FF24">
        <v>50</v>
      </c>
      <c r="FG24">
        <v>24.3</v>
      </c>
      <c r="FH24">
        <v>5848</v>
      </c>
      <c r="FI24">
        <v>2140</v>
      </c>
      <c r="FJ24">
        <v>475</v>
      </c>
      <c r="FK24">
        <v>247</v>
      </c>
      <c r="FL24">
        <v>34.700000000000003</v>
      </c>
    </row>
    <row r="25" spans="1:168">
      <c r="A25" s="49">
        <v>24</v>
      </c>
      <c r="B25" s="51" t="s">
        <v>254</v>
      </c>
      <c r="C25" s="22">
        <v>379</v>
      </c>
      <c r="D25" s="22">
        <v>107</v>
      </c>
      <c r="E25" s="22">
        <v>77</v>
      </c>
      <c r="F25" s="22">
        <v>54</v>
      </c>
      <c r="G25" s="22">
        <v>3.85</v>
      </c>
      <c r="H25" s="22">
        <v>1697</v>
      </c>
      <c r="I25" s="22"/>
      <c r="J25" s="22"/>
      <c r="K25" s="22"/>
      <c r="L25" s="22"/>
      <c r="M25" s="22"/>
      <c r="N25" s="22"/>
      <c r="O25" s="22"/>
      <c r="P25" s="22">
        <v>366</v>
      </c>
      <c r="Q25" s="22">
        <v>106</v>
      </c>
      <c r="R25" s="22">
        <v>73</v>
      </c>
      <c r="S25" s="22">
        <v>56</v>
      </c>
      <c r="T25" s="22">
        <v>3.85</v>
      </c>
      <c r="U25" s="22">
        <v>1503</v>
      </c>
      <c r="V25" s="22"/>
      <c r="W25" s="22"/>
      <c r="X25" s="22"/>
      <c r="Y25" s="22"/>
      <c r="Z25" s="22"/>
      <c r="AA25" s="22"/>
      <c r="AB25" s="22"/>
      <c r="AC25" s="22">
        <v>362</v>
      </c>
      <c r="AD25" s="22">
        <v>108</v>
      </c>
      <c r="AE25" s="22">
        <v>71</v>
      </c>
      <c r="AF25" s="22">
        <v>60</v>
      </c>
      <c r="AG25" s="22">
        <v>3.85</v>
      </c>
      <c r="AH25" s="22">
        <v>1851</v>
      </c>
      <c r="AI25" s="22"/>
      <c r="AJ25" s="22"/>
      <c r="AK25" s="22"/>
      <c r="AL25" s="22"/>
      <c r="AM25" s="22"/>
      <c r="AN25" s="22"/>
      <c r="AO25" s="22"/>
      <c r="AP25" s="22">
        <v>343</v>
      </c>
      <c r="AQ25" s="22">
        <v>109</v>
      </c>
      <c r="AR25" s="22">
        <v>91</v>
      </c>
      <c r="AS25" s="22">
        <v>54</v>
      </c>
      <c r="AT25" s="22">
        <v>3.85</v>
      </c>
      <c r="AU25" s="22">
        <v>1763</v>
      </c>
      <c r="AV25" s="22"/>
      <c r="AW25" s="22"/>
      <c r="AX25" s="22"/>
      <c r="AY25" s="22"/>
      <c r="AZ25" s="22"/>
      <c r="BA25" s="22"/>
      <c r="BB25" s="22"/>
      <c r="BC25" s="22">
        <v>340</v>
      </c>
      <c r="BD25" s="22">
        <v>106</v>
      </c>
      <c r="BE25" s="22">
        <v>97</v>
      </c>
      <c r="BF25" s="22">
        <v>51</v>
      </c>
      <c r="BG25" s="22">
        <v>3.85</v>
      </c>
      <c r="BH25" s="22">
        <v>1623</v>
      </c>
      <c r="BI25" s="22"/>
      <c r="BJ25" s="22"/>
      <c r="BK25" s="22"/>
      <c r="BL25" s="22"/>
      <c r="BM25" s="22"/>
      <c r="BN25" s="22"/>
      <c r="BO25" s="22"/>
      <c r="BP25" s="22">
        <v>348</v>
      </c>
      <c r="BQ25" s="22">
        <v>95</v>
      </c>
      <c r="BR25" s="22">
        <v>102</v>
      </c>
      <c r="BS25" s="22">
        <v>46</v>
      </c>
      <c r="BT25" s="22">
        <v>3.85</v>
      </c>
      <c r="BU25" s="22">
        <v>1834</v>
      </c>
      <c r="BV25" s="22"/>
      <c r="BW25" s="22"/>
      <c r="BX25" s="22"/>
      <c r="BY25" s="22"/>
      <c r="BZ25" s="22"/>
      <c r="CA25" s="22"/>
      <c r="CB25" s="22"/>
      <c r="CC25" s="22">
        <v>341</v>
      </c>
      <c r="CD25" s="22">
        <v>93</v>
      </c>
      <c r="CE25" s="22">
        <v>86</v>
      </c>
      <c r="CF25" s="22">
        <v>55</v>
      </c>
      <c r="CG25" s="22">
        <v>3.85</v>
      </c>
      <c r="CH25" s="22">
        <v>1937</v>
      </c>
      <c r="CI25" s="22"/>
      <c r="CJ25" s="22"/>
      <c r="CK25" s="22"/>
      <c r="CL25" s="22"/>
      <c r="CM25" s="22"/>
      <c r="CN25" s="22"/>
      <c r="CO25" s="22"/>
      <c r="CP25" s="22">
        <v>353</v>
      </c>
      <c r="CQ25" s="22">
        <v>97</v>
      </c>
      <c r="CR25" s="22">
        <v>94</v>
      </c>
      <c r="CS25" s="22">
        <v>58</v>
      </c>
      <c r="CT25" s="22">
        <v>3.85</v>
      </c>
      <c r="CU25" s="22">
        <v>1853</v>
      </c>
      <c r="CV25" s="22"/>
      <c r="CW25" s="22"/>
      <c r="CX25" s="22"/>
      <c r="CY25" s="22"/>
      <c r="CZ25" s="22"/>
      <c r="DA25" s="22"/>
      <c r="DB25" s="22"/>
      <c r="DC25" s="22">
        <v>350</v>
      </c>
      <c r="DD25" s="22">
        <v>104</v>
      </c>
      <c r="DE25" s="22">
        <v>102</v>
      </c>
      <c r="DF25" s="22">
        <v>58</v>
      </c>
      <c r="DG25" s="22">
        <v>3.85</v>
      </c>
      <c r="DH25" s="22">
        <v>2400</v>
      </c>
      <c r="DI25" s="22"/>
      <c r="DJ25" s="22"/>
      <c r="DK25" s="22"/>
      <c r="DL25" s="22"/>
      <c r="DM25" s="22"/>
      <c r="DN25" s="22"/>
      <c r="DO25" s="22"/>
      <c r="DP25" s="22">
        <v>352</v>
      </c>
      <c r="DQ25" s="22">
        <v>96</v>
      </c>
      <c r="DR25" s="22">
        <v>73</v>
      </c>
      <c r="DS25" s="22">
        <v>51</v>
      </c>
      <c r="DT25" s="22">
        <v>3.85</v>
      </c>
      <c r="DU25" s="22">
        <v>1867</v>
      </c>
      <c r="DV25" s="22"/>
      <c r="DW25" s="22"/>
      <c r="DX25" s="22"/>
      <c r="DY25" s="22"/>
      <c r="DZ25" s="22"/>
      <c r="EA25" s="22"/>
      <c r="EB25" s="22"/>
      <c r="EC25" s="22">
        <v>371</v>
      </c>
      <c r="ED25" s="22">
        <v>120</v>
      </c>
      <c r="EE25" s="22">
        <v>74</v>
      </c>
      <c r="EF25" s="22">
        <v>56</v>
      </c>
      <c r="EG25" s="22">
        <v>3.85</v>
      </c>
      <c r="EH25" s="22">
        <v>1862</v>
      </c>
      <c r="EI25" s="22"/>
      <c r="EJ25" s="22"/>
      <c r="EK25" s="22"/>
      <c r="EL25" s="22"/>
      <c r="EM25" s="22"/>
      <c r="EN25" s="22"/>
      <c r="EO25" s="22"/>
      <c r="EP25">
        <v>381</v>
      </c>
      <c r="EQ25">
        <v>113</v>
      </c>
      <c r="ER25">
        <v>87</v>
      </c>
      <c r="ES25">
        <v>56</v>
      </c>
      <c r="ET25">
        <v>3.85</v>
      </c>
      <c r="EU25">
        <v>1687</v>
      </c>
      <c r="FC25">
        <v>4559</v>
      </c>
      <c r="FD25">
        <v>1038</v>
      </c>
      <c r="FE25">
        <v>950</v>
      </c>
      <c r="FF25">
        <v>695</v>
      </c>
      <c r="FG25">
        <v>3.76</v>
      </c>
      <c r="FH25">
        <v>20782</v>
      </c>
    </row>
    <row r="26" spans="1:168">
      <c r="A26" s="49">
        <v>25</v>
      </c>
      <c r="B26" s="51" t="s">
        <v>14</v>
      </c>
      <c r="C26" s="22">
        <v>70</v>
      </c>
      <c r="D26" s="22">
        <v>63.6</v>
      </c>
      <c r="E26" s="22">
        <v>0.1</v>
      </c>
      <c r="F26" s="22">
        <v>39.5</v>
      </c>
      <c r="G26" s="22">
        <v>4485</v>
      </c>
      <c r="H26" s="22">
        <v>100</v>
      </c>
      <c r="I26" s="22">
        <v>100</v>
      </c>
      <c r="J26" s="22">
        <v>98</v>
      </c>
      <c r="K26" s="22">
        <v>100</v>
      </c>
      <c r="L26" s="22">
        <v>250</v>
      </c>
      <c r="M26" s="22"/>
      <c r="N26" s="22"/>
      <c r="O26" s="22"/>
      <c r="P26" s="22">
        <v>65</v>
      </c>
      <c r="Q26" s="22">
        <v>64.099999999999994</v>
      </c>
      <c r="R26" s="22">
        <v>0</v>
      </c>
      <c r="S26" s="22">
        <v>40.5</v>
      </c>
      <c r="T26" s="22">
        <v>4401</v>
      </c>
      <c r="U26" s="22">
        <v>100</v>
      </c>
      <c r="V26" s="22">
        <v>96</v>
      </c>
      <c r="W26" s="22">
        <v>93</v>
      </c>
      <c r="X26" s="22">
        <v>100</v>
      </c>
      <c r="Y26" s="22">
        <v>299</v>
      </c>
      <c r="Z26" s="22"/>
      <c r="AA26" s="22"/>
      <c r="AB26" s="22"/>
      <c r="AC26" s="22">
        <v>85</v>
      </c>
      <c r="AD26" s="22">
        <v>63.4</v>
      </c>
      <c r="AE26" s="22">
        <v>0</v>
      </c>
      <c r="AF26" s="22">
        <v>43.6</v>
      </c>
      <c r="AG26" s="22">
        <v>4303</v>
      </c>
      <c r="AH26" s="22">
        <v>100</v>
      </c>
      <c r="AI26" s="22">
        <v>100</v>
      </c>
      <c r="AJ26" s="22">
        <v>99</v>
      </c>
      <c r="AK26" s="22">
        <v>100</v>
      </c>
      <c r="AL26" s="22">
        <v>290</v>
      </c>
      <c r="AM26" s="22"/>
      <c r="AN26" s="22"/>
      <c r="AO26" s="22"/>
      <c r="AP26" s="22">
        <v>76</v>
      </c>
      <c r="AQ26" s="22">
        <v>64</v>
      </c>
      <c r="AR26" s="22">
        <v>9</v>
      </c>
      <c r="AS26" s="22">
        <v>45.1</v>
      </c>
      <c r="AT26" s="22">
        <v>4190</v>
      </c>
      <c r="AU26" s="22">
        <v>100</v>
      </c>
      <c r="AV26" s="22">
        <v>100</v>
      </c>
      <c r="AW26" s="22">
        <v>95</v>
      </c>
      <c r="AX26" s="22">
        <v>98</v>
      </c>
      <c r="AY26" s="22">
        <v>305</v>
      </c>
      <c r="AZ26" s="22"/>
      <c r="BA26" s="22"/>
      <c r="BB26" s="22"/>
      <c r="BC26" s="22">
        <v>62</v>
      </c>
      <c r="BD26" s="22">
        <v>63.9</v>
      </c>
      <c r="BE26" s="22">
        <v>0</v>
      </c>
      <c r="BF26" s="22">
        <v>55.9</v>
      </c>
      <c r="BG26" s="22">
        <v>4287</v>
      </c>
      <c r="BH26" s="22">
        <v>100</v>
      </c>
      <c r="BI26" s="22">
        <v>96</v>
      </c>
      <c r="BJ26" s="22">
        <v>98.7</v>
      </c>
      <c r="BK26" s="22">
        <v>100</v>
      </c>
      <c r="BL26" s="22">
        <v>303</v>
      </c>
      <c r="BM26" s="22"/>
      <c r="BN26" s="22"/>
      <c r="BO26" s="22"/>
      <c r="BP26" s="22">
        <v>83</v>
      </c>
      <c r="BQ26" s="22">
        <v>63.6</v>
      </c>
      <c r="BR26" s="22">
        <v>0.28999999999999998</v>
      </c>
      <c r="BS26" s="22">
        <v>55.9</v>
      </c>
      <c r="BT26" s="22">
        <v>4181</v>
      </c>
      <c r="BU26" s="22">
        <v>100</v>
      </c>
      <c r="BV26" s="22">
        <v>100</v>
      </c>
      <c r="BW26" s="22">
        <v>99.7</v>
      </c>
      <c r="BX26" s="22">
        <v>100</v>
      </c>
      <c r="BY26" s="22">
        <v>269</v>
      </c>
      <c r="BZ26" s="22"/>
      <c r="CA26" s="22"/>
      <c r="CB26" s="22"/>
      <c r="CC26" s="22">
        <v>60</v>
      </c>
      <c r="CD26" s="22">
        <v>63.6</v>
      </c>
      <c r="CE26" s="22">
        <v>0</v>
      </c>
      <c r="CF26" s="22">
        <v>54.8</v>
      </c>
      <c r="CG26" s="22">
        <v>4492</v>
      </c>
      <c r="CH26" s="22">
        <v>100</v>
      </c>
      <c r="CI26" s="22">
        <v>100</v>
      </c>
      <c r="CJ26" s="22">
        <v>98</v>
      </c>
      <c r="CK26" s="22">
        <v>100</v>
      </c>
      <c r="CL26" s="22">
        <v>258</v>
      </c>
      <c r="CM26" s="22"/>
      <c r="CN26" s="22"/>
      <c r="CO26" s="22"/>
      <c r="CP26" s="22">
        <v>62</v>
      </c>
      <c r="CQ26" s="22">
        <v>63</v>
      </c>
      <c r="CR26" s="22">
        <v>0.14000000000000001</v>
      </c>
      <c r="CS26" s="22">
        <v>69.599999999999994</v>
      </c>
      <c r="CT26" s="22">
        <v>3927</v>
      </c>
      <c r="CU26" s="22">
        <v>100</v>
      </c>
      <c r="CV26" s="22">
        <v>100</v>
      </c>
      <c r="CW26" s="22">
        <v>97.7</v>
      </c>
      <c r="CX26" s="22">
        <v>98</v>
      </c>
      <c r="CY26" s="22">
        <v>276</v>
      </c>
      <c r="CZ26" s="22"/>
      <c r="DA26" s="22"/>
      <c r="DB26" s="22"/>
      <c r="DC26" s="22">
        <v>72</v>
      </c>
      <c r="DD26" s="22">
        <v>62.8</v>
      </c>
      <c r="DE26" s="22">
        <v>0</v>
      </c>
      <c r="DF26" s="22">
        <v>58.8</v>
      </c>
      <c r="DG26" s="22">
        <v>4493</v>
      </c>
      <c r="DH26" s="22">
        <v>100</v>
      </c>
      <c r="DI26" s="22">
        <v>100</v>
      </c>
      <c r="DJ26" s="22">
        <v>99</v>
      </c>
      <c r="DK26" s="22">
        <v>95.7</v>
      </c>
      <c r="DL26" s="22">
        <v>296</v>
      </c>
      <c r="DM26" s="22"/>
      <c r="DN26" s="22"/>
      <c r="DO26" s="22"/>
      <c r="DP26" s="22">
        <v>72</v>
      </c>
      <c r="DQ26" s="22">
        <v>63.3</v>
      </c>
      <c r="DR26" s="22">
        <v>9</v>
      </c>
      <c r="DS26" s="22">
        <v>52.4</v>
      </c>
      <c r="DT26" s="22">
        <v>3951</v>
      </c>
      <c r="DU26" s="22">
        <v>100</v>
      </c>
      <c r="DV26" s="22">
        <v>100</v>
      </c>
      <c r="DW26" s="22">
        <v>98.3</v>
      </c>
      <c r="DX26" s="22">
        <v>99</v>
      </c>
      <c r="DY26" s="22">
        <v>217</v>
      </c>
      <c r="DZ26" s="22"/>
      <c r="EA26" s="22"/>
      <c r="EB26" s="22"/>
      <c r="EC26" s="22">
        <v>68</v>
      </c>
      <c r="ED26" s="22">
        <v>63.4</v>
      </c>
      <c r="EE26" s="22">
        <v>0.18</v>
      </c>
      <c r="EF26" s="22">
        <v>55</v>
      </c>
      <c r="EG26" s="22">
        <v>3359</v>
      </c>
      <c r="EH26" s="22">
        <v>100</v>
      </c>
      <c r="EI26" s="22">
        <v>100</v>
      </c>
      <c r="EJ26" s="22">
        <v>99.3</v>
      </c>
      <c r="EK26" s="22">
        <v>96.7</v>
      </c>
      <c r="EL26" s="22">
        <v>255</v>
      </c>
      <c r="EM26" s="22"/>
      <c r="EN26" s="22"/>
      <c r="EO26" s="22"/>
      <c r="EP26">
        <v>72</v>
      </c>
      <c r="EQ26">
        <v>63.2</v>
      </c>
      <c r="ER26">
        <v>0</v>
      </c>
      <c r="ES26">
        <v>54.2</v>
      </c>
      <c r="ET26">
        <v>4048</v>
      </c>
      <c r="EU26">
        <v>100</v>
      </c>
      <c r="EV26">
        <v>100</v>
      </c>
      <c r="EW26">
        <v>100</v>
      </c>
      <c r="EX26">
        <v>93.3</v>
      </c>
      <c r="EY26">
        <v>212</v>
      </c>
      <c r="FC26">
        <v>705</v>
      </c>
      <c r="FD26">
        <v>63.6</v>
      </c>
      <c r="FE26">
        <v>2.1</v>
      </c>
      <c r="FF26">
        <v>28.6</v>
      </c>
      <c r="FG26">
        <v>46936</v>
      </c>
      <c r="FH26">
        <v>100</v>
      </c>
      <c r="FI26">
        <v>98.4</v>
      </c>
      <c r="FJ26">
        <v>97.4</v>
      </c>
      <c r="FK26">
        <v>100</v>
      </c>
      <c r="FL26">
        <v>73.5</v>
      </c>
    </row>
    <row r="27" spans="1:168" s="77" customFormat="1">
      <c r="A27" s="78">
        <v>26</v>
      </c>
      <c r="B27" s="75" t="s">
        <v>15</v>
      </c>
      <c r="C27" s="76">
        <v>2</v>
      </c>
      <c r="D27" s="76">
        <v>2</v>
      </c>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S27" s="76"/>
      <c r="DT27" s="76"/>
      <c r="DU27" s="76"/>
      <c r="DV27" s="76"/>
      <c r="EP27" s="77">
        <v>2</v>
      </c>
      <c r="EQ27" s="77">
        <v>14</v>
      </c>
      <c r="ER27" s="77">
        <v>100.3</v>
      </c>
      <c r="ET27" s="77">
        <v>711</v>
      </c>
      <c r="EU27" s="77">
        <v>11</v>
      </c>
      <c r="EV27" s="77">
        <v>10</v>
      </c>
    </row>
    <row r="28" spans="1:168">
      <c r="A28" s="49">
        <v>27</v>
      </c>
      <c r="B28" s="51" t="s">
        <v>16</v>
      </c>
      <c r="C28" s="22">
        <v>22</v>
      </c>
      <c r="D28" s="22"/>
      <c r="E28" s="22"/>
      <c r="F28" s="22">
        <v>86.9</v>
      </c>
      <c r="G28" s="22">
        <v>2.2999999999999998</v>
      </c>
      <c r="H28" s="22">
        <v>0</v>
      </c>
      <c r="I28" s="22"/>
      <c r="J28" s="22"/>
      <c r="K28" s="22"/>
      <c r="L28" s="22"/>
      <c r="M28" s="22"/>
      <c r="N28" s="22"/>
      <c r="O28" s="22"/>
      <c r="P28" s="22">
        <v>7</v>
      </c>
      <c r="Q28" s="22">
        <v>0</v>
      </c>
      <c r="R28" s="22">
        <v>0</v>
      </c>
      <c r="S28" s="22">
        <v>86.9</v>
      </c>
      <c r="T28" s="22">
        <v>1.6E-2</v>
      </c>
      <c r="U28" s="22">
        <v>0</v>
      </c>
      <c r="V28" s="22"/>
      <c r="W28" s="22"/>
      <c r="X28" s="22"/>
      <c r="Y28" s="22"/>
      <c r="Z28" s="22"/>
      <c r="AA28" s="22"/>
      <c r="AB28" s="22"/>
      <c r="AC28" s="22">
        <v>7</v>
      </c>
      <c r="AD28" s="22">
        <v>0</v>
      </c>
      <c r="AE28" s="22">
        <v>0</v>
      </c>
      <c r="AF28" s="22">
        <v>86.9</v>
      </c>
      <c r="AG28" s="22">
        <v>0.11</v>
      </c>
      <c r="AH28" s="22">
        <v>0</v>
      </c>
      <c r="AI28" s="22"/>
      <c r="AJ28" s="22"/>
      <c r="AK28" s="22"/>
      <c r="AL28" s="22"/>
      <c r="AM28" s="22"/>
      <c r="AN28" s="22"/>
      <c r="AO28" s="22"/>
      <c r="AP28" s="22">
        <v>3</v>
      </c>
      <c r="AQ28" s="22">
        <v>0</v>
      </c>
      <c r="AR28" s="22">
        <v>16</v>
      </c>
      <c r="AS28" s="22">
        <v>86.9</v>
      </c>
      <c r="AT28" s="22">
        <v>0.66</v>
      </c>
      <c r="AU28" s="22">
        <v>0.24</v>
      </c>
      <c r="AV28" s="22"/>
      <c r="AW28" s="22"/>
      <c r="AX28" s="22"/>
      <c r="AY28" s="22"/>
      <c r="AZ28" s="22"/>
      <c r="BA28" s="22"/>
      <c r="BB28" s="22"/>
      <c r="BC28" s="22">
        <v>1</v>
      </c>
      <c r="BD28" s="22">
        <v>0</v>
      </c>
      <c r="BE28" s="22">
        <v>32</v>
      </c>
      <c r="BF28" s="22">
        <v>86.9</v>
      </c>
      <c r="BG28" s="22">
        <v>0</v>
      </c>
      <c r="BH28" s="22">
        <v>0.56999999999999995</v>
      </c>
      <c r="BI28" s="22"/>
      <c r="BJ28" s="22"/>
      <c r="BK28" s="22"/>
      <c r="BL28" s="22"/>
      <c r="BM28" s="22"/>
      <c r="BN28" s="22"/>
      <c r="BO28" s="22"/>
      <c r="BP28" s="22">
        <v>4</v>
      </c>
      <c r="BQ28" s="22">
        <v>0</v>
      </c>
      <c r="BR28" s="22">
        <v>0</v>
      </c>
      <c r="BS28" s="22">
        <v>86.9</v>
      </c>
      <c r="BT28" s="22">
        <v>7.2</v>
      </c>
      <c r="BU28" s="22">
        <v>0.33</v>
      </c>
      <c r="BV28" s="22"/>
      <c r="BW28" s="22"/>
      <c r="BX28" s="22"/>
      <c r="BY28" s="22"/>
      <c r="BZ28" s="22"/>
      <c r="CA28" s="22"/>
      <c r="CB28" s="22"/>
      <c r="CC28" s="22">
        <v>1</v>
      </c>
      <c r="CD28" s="22">
        <v>0</v>
      </c>
      <c r="CE28" s="22">
        <v>0</v>
      </c>
      <c r="CF28" s="22">
        <v>86.9</v>
      </c>
      <c r="CG28" s="22">
        <v>1.17</v>
      </c>
      <c r="CH28" s="22">
        <v>0</v>
      </c>
      <c r="CI28" s="22"/>
      <c r="CJ28" s="22"/>
      <c r="CK28" s="22"/>
      <c r="CL28" s="22"/>
      <c r="CM28" s="22"/>
      <c r="CN28" s="22"/>
      <c r="CO28" s="22"/>
      <c r="CP28" s="22"/>
      <c r="CQ28" s="22"/>
      <c r="CR28" s="22"/>
      <c r="CS28" s="22">
        <v>86.9</v>
      </c>
      <c r="CT28" s="22"/>
      <c r="CU28" s="22"/>
      <c r="CV28" s="22"/>
      <c r="CW28" s="22"/>
      <c r="CX28" s="22"/>
      <c r="CY28" s="22"/>
      <c r="CZ28" s="22"/>
      <c r="DA28" s="22"/>
      <c r="DB28" s="22"/>
      <c r="DC28" s="22">
        <v>2</v>
      </c>
      <c r="DD28" s="22">
        <v>0</v>
      </c>
      <c r="DE28" s="22">
        <v>0</v>
      </c>
      <c r="DF28" s="22">
        <v>86.9</v>
      </c>
      <c r="DG28" s="22">
        <v>0.39</v>
      </c>
      <c r="DH28" s="22">
        <v>0</v>
      </c>
      <c r="DI28" s="22"/>
      <c r="DJ28" s="22"/>
      <c r="DK28" s="22"/>
      <c r="DL28" s="22"/>
      <c r="DM28" s="22"/>
      <c r="DN28" s="22"/>
      <c r="DO28" s="22"/>
      <c r="DP28" s="22"/>
      <c r="DS28" s="22">
        <v>86.9</v>
      </c>
      <c r="DT28" s="22"/>
      <c r="DU28" s="22"/>
      <c r="EF28">
        <v>86.9</v>
      </c>
      <c r="EG28">
        <v>0.24</v>
      </c>
      <c r="ES28">
        <v>86.9</v>
      </c>
      <c r="FC28">
        <v>253</v>
      </c>
      <c r="FD28">
        <v>0</v>
      </c>
      <c r="FE28">
        <v>186</v>
      </c>
      <c r="FF28">
        <v>82.3</v>
      </c>
      <c r="FG28">
        <v>36.200000000000003</v>
      </c>
      <c r="FH28">
        <v>2.8</v>
      </c>
    </row>
    <row r="29" spans="1:168">
      <c r="A29" s="49">
        <v>28</v>
      </c>
      <c r="B29" s="51" t="s">
        <v>17</v>
      </c>
      <c r="C29" s="22">
        <v>341</v>
      </c>
      <c r="D29" s="22">
        <v>38</v>
      </c>
      <c r="E29" s="22">
        <v>28</v>
      </c>
      <c r="F29" s="22">
        <v>1.5</v>
      </c>
      <c r="G29" s="22">
        <v>4.7</v>
      </c>
      <c r="H29" s="22">
        <v>0</v>
      </c>
      <c r="I29" s="22"/>
      <c r="J29" s="22"/>
      <c r="K29" s="22"/>
      <c r="L29" s="22"/>
      <c r="M29" s="22"/>
      <c r="N29" s="22"/>
      <c r="O29" s="22"/>
      <c r="P29" s="22">
        <v>287</v>
      </c>
      <c r="Q29" s="22">
        <v>6</v>
      </c>
      <c r="R29" s="22">
        <v>8</v>
      </c>
      <c r="S29" s="22">
        <v>53.9</v>
      </c>
      <c r="T29" s="22">
        <v>56.91</v>
      </c>
      <c r="U29" s="22">
        <v>0</v>
      </c>
      <c r="V29" s="22"/>
      <c r="W29" s="22"/>
      <c r="X29" s="22"/>
      <c r="Y29" s="22"/>
      <c r="Z29" s="22"/>
      <c r="AA29" s="22"/>
      <c r="AB29" s="22"/>
      <c r="AC29" s="22">
        <v>316</v>
      </c>
      <c r="AD29" s="22">
        <v>185</v>
      </c>
      <c r="AE29" s="22">
        <v>7</v>
      </c>
      <c r="AF29" s="22">
        <v>55.1</v>
      </c>
      <c r="AG29" s="22">
        <v>61.5</v>
      </c>
      <c r="AH29" s="22">
        <v>0</v>
      </c>
      <c r="AI29" s="22"/>
      <c r="AJ29" s="22"/>
      <c r="AK29" s="22"/>
      <c r="AL29" s="22"/>
      <c r="AM29" s="22"/>
      <c r="AN29" s="22"/>
      <c r="AO29" s="22"/>
      <c r="AP29" s="22">
        <v>362</v>
      </c>
      <c r="AQ29" s="22">
        <v>245</v>
      </c>
      <c r="AR29" s="22">
        <v>9</v>
      </c>
      <c r="AS29" s="22">
        <v>53.4</v>
      </c>
      <c r="AT29" s="22">
        <v>66.5</v>
      </c>
      <c r="AU29" s="22">
        <v>0</v>
      </c>
      <c r="AV29" s="22"/>
      <c r="AW29" s="22"/>
      <c r="AX29" s="22"/>
      <c r="AY29" s="22"/>
      <c r="AZ29" s="22"/>
      <c r="BA29" s="22"/>
      <c r="BB29" s="22"/>
      <c r="BC29" s="22">
        <v>308</v>
      </c>
      <c r="BD29" s="22">
        <v>67</v>
      </c>
      <c r="BE29" s="22">
        <v>5</v>
      </c>
      <c r="BF29" s="22">
        <v>60.35</v>
      </c>
      <c r="BG29" s="22">
        <v>69.05</v>
      </c>
      <c r="BH29" s="22">
        <v>0</v>
      </c>
      <c r="BI29" s="22"/>
      <c r="BJ29" s="22"/>
      <c r="BK29" s="22"/>
      <c r="BL29" s="22"/>
      <c r="BM29" s="22"/>
      <c r="BN29" s="22"/>
      <c r="BO29" s="22"/>
      <c r="BP29" s="22">
        <v>253</v>
      </c>
      <c r="BQ29" s="22">
        <v>0</v>
      </c>
      <c r="BR29" s="22">
        <v>4</v>
      </c>
      <c r="BS29" s="22">
        <v>89.22</v>
      </c>
      <c r="BT29" s="22">
        <v>76.069999999999993</v>
      </c>
      <c r="BU29" s="22">
        <v>0</v>
      </c>
      <c r="BV29" s="22"/>
      <c r="BW29" s="22"/>
      <c r="BX29" s="22"/>
      <c r="BY29" s="22"/>
      <c r="BZ29" s="22"/>
      <c r="CA29" s="22"/>
      <c r="CB29" s="22"/>
      <c r="CC29" s="22">
        <v>207</v>
      </c>
      <c r="CD29" s="22">
        <v>40</v>
      </c>
      <c r="CE29" s="22">
        <v>4</v>
      </c>
      <c r="CF29" s="22">
        <v>91.98</v>
      </c>
      <c r="CG29" s="22">
        <v>75.63</v>
      </c>
      <c r="CH29" s="22">
        <v>0</v>
      </c>
      <c r="CI29" s="22"/>
      <c r="CJ29" s="22"/>
      <c r="CK29" s="22"/>
      <c r="CL29" s="22"/>
      <c r="CM29" s="22"/>
      <c r="CN29" s="22"/>
      <c r="CO29" s="22"/>
      <c r="CP29" s="22">
        <v>372</v>
      </c>
      <c r="CQ29" s="22">
        <v>47</v>
      </c>
      <c r="CR29" s="22">
        <v>10</v>
      </c>
      <c r="CS29" s="22">
        <v>94.05</v>
      </c>
      <c r="CT29" s="22">
        <v>79.069999999999993</v>
      </c>
      <c r="CU29" s="22">
        <v>0</v>
      </c>
      <c r="CV29" s="22">
        <v>0</v>
      </c>
      <c r="CW29" s="22">
        <v>13844</v>
      </c>
      <c r="CX29" s="22"/>
      <c r="CY29" s="22"/>
      <c r="CZ29" s="22"/>
      <c r="DA29" s="22"/>
      <c r="DB29" s="22"/>
      <c r="DC29" s="22">
        <v>1049</v>
      </c>
      <c r="DD29" s="22">
        <v>398</v>
      </c>
      <c r="DE29" s="22">
        <v>113</v>
      </c>
      <c r="DF29" s="22">
        <v>94.79</v>
      </c>
      <c r="DG29" s="22">
        <v>82.66</v>
      </c>
      <c r="DH29" s="22">
        <v>0</v>
      </c>
      <c r="DI29" s="22"/>
      <c r="DJ29" s="22">
        <v>7963</v>
      </c>
      <c r="DK29" s="22">
        <v>0</v>
      </c>
      <c r="DL29" s="22"/>
      <c r="DM29" s="22"/>
      <c r="DN29" s="22"/>
      <c r="DO29" s="22"/>
      <c r="DP29" s="22">
        <v>527</v>
      </c>
      <c r="DQ29" s="22">
        <v>389</v>
      </c>
      <c r="DR29" s="22">
        <v>157</v>
      </c>
      <c r="DS29" s="22">
        <v>95.47</v>
      </c>
      <c r="DT29" s="22">
        <v>83.7</v>
      </c>
      <c r="DU29" s="22"/>
      <c r="DV29" s="22">
        <v>0</v>
      </c>
      <c r="DW29" s="22">
        <v>6281</v>
      </c>
      <c r="DX29" s="22">
        <v>0</v>
      </c>
      <c r="DY29" s="22"/>
      <c r="DZ29" s="22"/>
      <c r="EA29" s="22"/>
      <c r="EC29" s="22">
        <v>606</v>
      </c>
      <c r="ED29" s="22">
        <v>352</v>
      </c>
      <c r="EE29" s="22">
        <v>79</v>
      </c>
      <c r="EF29" s="22">
        <v>96.11</v>
      </c>
      <c r="EG29" s="22">
        <v>84.42</v>
      </c>
      <c r="EH29" s="22">
        <v>95.03</v>
      </c>
      <c r="EI29" s="22">
        <v>0</v>
      </c>
      <c r="EJ29" s="22">
        <v>2262</v>
      </c>
      <c r="EK29" s="22">
        <v>0</v>
      </c>
      <c r="EP29">
        <v>359</v>
      </c>
      <c r="EQ29">
        <v>273</v>
      </c>
      <c r="ER29">
        <v>26</v>
      </c>
      <c r="ES29">
        <v>96.57</v>
      </c>
      <c r="ET29">
        <v>89.49</v>
      </c>
      <c r="EU29">
        <v>95.91</v>
      </c>
      <c r="EV29">
        <v>0</v>
      </c>
      <c r="EW29">
        <v>691</v>
      </c>
      <c r="EX29">
        <v>33798</v>
      </c>
      <c r="FC29">
        <v>4106</v>
      </c>
      <c r="FD29">
        <v>1827</v>
      </c>
      <c r="FE29">
        <v>288</v>
      </c>
      <c r="FF29">
        <v>96.77</v>
      </c>
      <c r="FG29">
        <v>89.96</v>
      </c>
    </row>
    <row r="30" spans="1:168">
      <c r="A30" s="49">
        <v>29</v>
      </c>
      <c r="B30" s="51" t="s">
        <v>211</v>
      </c>
      <c r="C30" s="22">
        <v>164</v>
      </c>
      <c r="D30" s="22">
        <v>231</v>
      </c>
      <c r="E30" s="22">
        <v>395</v>
      </c>
      <c r="F30" s="22">
        <v>17.899999999999999</v>
      </c>
      <c r="G30" s="22">
        <v>6</v>
      </c>
      <c r="H30" s="22">
        <v>7681</v>
      </c>
      <c r="I30" s="22">
        <v>1937</v>
      </c>
      <c r="J30" s="22"/>
      <c r="K30" s="22"/>
      <c r="L30" s="22"/>
      <c r="M30" s="22"/>
      <c r="N30" s="22"/>
      <c r="O30" s="22"/>
      <c r="P30" s="22">
        <v>141</v>
      </c>
      <c r="Q30" s="22">
        <v>193</v>
      </c>
      <c r="R30" s="22">
        <v>334</v>
      </c>
      <c r="S30" s="22">
        <v>15.9</v>
      </c>
      <c r="T30" s="22">
        <v>4</v>
      </c>
      <c r="U30" s="22">
        <v>6345</v>
      </c>
      <c r="V30" s="22">
        <v>3295</v>
      </c>
      <c r="W30" s="22"/>
      <c r="X30" s="22"/>
      <c r="Y30" s="22"/>
      <c r="Z30" s="22"/>
      <c r="AA30" s="22"/>
      <c r="AB30" s="22"/>
      <c r="AC30" s="22">
        <v>110</v>
      </c>
      <c r="AD30" s="22">
        <v>151</v>
      </c>
      <c r="AE30" s="22">
        <v>261</v>
      </c>
      <c r="AF30" s="22">
        <v>12.4</v>
      </c>
      <c r="AG30" s="22">
        <v>5</v>
      </c>
      <c r="AH30" s="22">
        <v>34599</v>
      </c>
      <c r="AI30" s="22">
        <v>6132</v>
      </c>
      <c r="AJ30" s="22"/>
      <c r="AK30" s="22"/>
      <c r="AL30" s="22"/>
      <c r="AM30" s="22"/>
      <c r="AN30" s="22"/>
      <c r="AO30" s="22"/>
      <c r="AP30" s="22">
        <v>186</v>
      </c>
      <c r="AQ30" s="22">
        <v>273</v>
      </c>
      <c r="AR30" s="22">
        <v>459</v>
      </c>
      <c r="AS30" s="22">
        <v>20.8</v>
      </c>
      <c r="AT30" s="36">
        <v>5</v>
      </c>
      <c r="AU30" s="22">
        <v>21035</v>
      </c>
      <c r="AV30" s="22">
        <v>4775</v>
      </c>
      <c r="AW30" s="22"/>
      <c r="AX30" s="22"/>
      <c r="AY30" s="22"/>
      <c r="AZ30" s="22"/>
      <c r="BA30" s="22"/>
      <c r="BB30" s="22"/>
      <c r="BC30" s="22">
        <v>82</v>
      </c>
      <c r="BD30" s="22">
        <v>111</v>
      </c>
      <c r="BE30" s="22">
        <v>193</v>
      </c>
      <c r="BF30" s="22">
        <v>10.199999999999999</v>
      </c>
      <c r="BG30" s="22">
        <v>5</v>
      </c>
      <c r="BH30" s="22">
        <v>16819</v>
      </c>
      <c r="BI30" s="22">
        <v>2786</v>
      </c>
      <c r="BJ30" s="22"/>
      <c r="BK30" s="22"/>
      <c r="BL30" s="22"/>
      <c r="BM30" s="22"/>
      <c r="BN30" s="22"/>
      <c r="BO30" s="22"/>
      <c r="BP30" s="22">
        <v>184</v>
      </c>
      <c r="BQ30" s="22">
        <v>239</v>
      </c>
      <c r="BR30" s="22">
        <v>423</v>
      </c>
      <c r="BS30" s="22">
        <v>20.100000000000001</v>
      </c>
      <c r="BT30" s="22">
        <v>5</v>
      </c>
      <c r="BU30" s="22">
        <v>23850</v>
      </c>
      <c r="BV30" s="22">
        <v>5167</v>
      </c>
      <c r="BW30" s="22"/>
      <c r="BX30" s="22"/>
      <c r="BY30" s="22"/>
      <c r="BZ30" s="22"/>
      <c r="CA30" s="22"/>
      <c r="CB30" s="22"/>
      <c r="CC30" s="22">
        <v>175</v>
      </c>
      <c r="CD30" s="22">
        <v>245</v>
      </c>
      <c r="CE30" s="22">
        <v>420</v>
      </c>
      <c r="CF30" s="37">
        <v>22.1</v>
      </c>
      <c r="CG30" s="22">
        <v>2</v>
      </c>
      <c r="CH30" s="22">
        <v>5643</v>
      </c>
      <c r="CI30" s="22">
        <v>3580</v>
      </c>
      <c r="CJ30" s="22">
        <v>0</v>
      </c>
      <c r="CK30" s="22"/>
      <c r="CL30" s="22"/>
      <c r="CM30" s="22"/>
      <c r="CN30" s="22"/>
      <c r="CO30" s="22"/>
      <c r="CP30" s="22">
        <v>168</v>
      </c>
      <c r="CQ30" s="22">
        <v>235</v>
      </c>
      <c r="CR30" s="22">
        <v>403</v>
      </c>
      <c r="CS30" s="22">
        <v>20.2</v>
      </c>
      <c r="CT30" s="22">
        <v>2</v>
      </c>
      <c r="CU30" s="22">
        <v>3714</v>
      </c>
      <c r="CV30" s="22">
        <v>2208</v>
      </c>
      <c r="CW30" s="22">
        <v>0</v>
      </c>
      <c r="CX30" s="22"/>
      <c r="CY30" s="22"/>
      <c r="CZ30" s="22"/>
      <c r="DA30" s="22"/>
      <c r="DB30" s="22"/>
      <c r="DC30" s="22">
        <v>207</v>
      </c>
      <c r="DD30" s="22">
        <v>285</v>
      </c>
      <c r="DE30" s="22">
        <v>492</v>
      </c>
      <c r="DF30" s="22">
        <v>21.4</v>
      </c>
      <c r="DG30" s="22">
        <v>2</v>
      </c>
      <c r="DH30" s="22">
        <v>2227</v>
      </c>
      <c r="DI30" s="22">
        <v>845</v>
      </c>
      <c r="DJ30" s="22">
        <v>0</v>
      </c>
      <c r="DK30" s="22"/>
      <c r="DL30" s="22"/>
      <c r="DM30" s="22"/>
      <c r="DN30" s="22"/>
      <c r="DO30" s="22"/>
      <c r="DP30" s="22">
        <v>160</v>
      </c>
      <c r="DQ30">
        <v>208</v>
      </c>
      <c r="DR30">
        <v>368</v>
      </c>
      <c r="DS30" s="22">
        <v>17.5</v>
      </c>
      <c r="DT30" s="22">
        <v>5</v>
      </c>
      <c r="DU30" s="22">
        <v>42649</v>
      </c>
      <c r="DV30" s="22">
        <v>4574</v>
      </c>
      <c r="DW30" s="22"/>
      <c r="EC30">
        <v>158</v>
      </c>
      <c r="ED30">
        <v>223</v>
      </c>
      <c r="EE30">
        <v>381</v>
      </c>
      <c r="EF30">
        <v>18.100000000000001</v>
      </c>
      <c r="EG30">
        <v>5</v>
      </c>
      <c r="EH30">
        <v>8687</v>
      </c>
      <c r="EI30">
        <v>3291</v>
      </c>
      <c r="EJ30">
        <v>4</v>
      </c>
      <c r="EP30">
        <v>183</v>
      </c>
      <c r="EQ30">
        <v>270</v>
      </c>
      <c r="ER30">
        <v>453</v>
      </c>
      <c r="ES30">
        <v>20.6</v>
      </c>
      <c r="ET30">
        <v>3</v>
      </c>
      <c r="EU30">
        <v>52147</v>
      </c>
      <c r="EV30">
        <v>5865</v>
      </c>
      <c r="FC30">
        <v>1770</v>
      </c>
      <c r="FD30">
        <v>2443</v>
      </c>
      <c r="FE30">
        <v>4213</v>
      </c>
      <c r="FF30">
        <v>13.1</v>
      </c>
      <c r="FG30">
        <v>45</v>
      </c>
      <c r="FH30">
        <v>212427</v>
      </c>
      <c r="FI30">
        <v>33025</v>
      </c>
      <c r="FJ30">
        <v>3</v>
      </c>
    </row>
    <row r="31" spans="1:168">
      <c r="A31" s="49">
        <v>30</v>
      </c>
      <c r="B31" s="51" t="s">
        <v>18</v>
      </c>
      <c r="C31" s="22">
        <v>782</v>
      </c>
      <c r="D31" s="22">
        <v>206</v>
      </c>
      <c r="E31" s="22">
        <v>14</v>
      </c>
      <c r="F31" s="22">
        <v>542</v>
      </c>
      <c r="G31" s="22"/>
      <c r="H31" s="22"/>
      <c r="I31" s="22"/>
      <c r="J31" s="22"/>
      <c r="K31" s="22"/>
      <c r="L31" s="22"/>
      <c r="M31" s="22"/>
      <c r="N31" s="22"/>
      <c r="O31" s="22"/>
      <c r="P31" s="22">
        <v>738</v>
      </c>
      <c r="Q31" s="22">
        <v>180</v>
      </c>
      <c r="R31" s="22">
        <v>10</v>
      </c>
      <c r="S31" s="22">
        <v>540</v>
      </c>
      <c r="T31" s="22"/>
      <c r="U31" s="22"/>
      <c r="V31" s="22"/>
      <c r="W31" s="22"/>
      <c r="X31" s="22"/>
      <c r="Y31" s="22"/>
      <c r="Z31" s="22"/>
      <c r="AA31" s="22"/>
      <c r="AB31" s="22"/>
      <c r="AC31" s="22">
        <v>721</v>
      </c>
      <c r="AD31" s="22">
        <v>147</v>
      </c>
      <c r="AE31" s="22">
        <v>9</v>
      </c>
      <c r="AF31" s="22">
        <v>536</v>
      </c>
      <c r="AG31" s="22"/>
      <c r="AH31" s="22"/>
      <c r="AI31" s="22"/>
      <c r="AJ31" s="22"/>
      <c r="AK31" s="22"/>
      <c r="AL31" s="22"/>
      <c r="AM31" s="22"/>
      <c r="AN31" s="22"/>
      <c r="AO31" s="22"/>
      <c r="AP31" s="22">
        <v>743</v>
      </c>
      <c r="AQ31" s="22">
        <v>173</v>
      </c>
      <c r="AR31" s="22">
        <v>10</v>
      </c>
      <c r="AS31" s="22">
        <v>510</v>
      </c>
      <c r="AT31" s="22"/>
      <c r="AU31" s="22"/>
      <c r="AV31" s="22"/>
      <c r="AW31" s="22"/>
      <c r="AX31" s="22"/>
      <c r="AY31" s="22"/>
      <c r="AZ31" s="22"/>
      <c r="BA31" s="22"/>
      <c r="BB31" s="22"/>
      <c r="BC31" s="22">
        <v>704</v>
      </c>
      <c r="BD31" s="22">
        <v>170</v>
      </c>
      <c r="BE31" s="22">
        <v>12</v>
      </c>
      <c r="BF31" s="22">
        <v>508</v>
      </c>
      <c r="BG31" s="22"/>
      <c r="BH31" s="22"/>
      <c r="BI31" s="22"/>
      <c r="BJ31" s="22"/>
      <c r="BK31" s="22"/>
      <c r="BL31" s="22"/>
      <c r="BM31" s="22"/>
      <c r="BN31" s="22"/>
      <c r="BO31" s="22"/>
      <c r="BP31">
        <v>707</v>
      </c>
      <c r="BQ31">
        <v>166</v>
      </c>
      <c r="BR31">
        <v>9</v>
      </c>
      <c r="BS31">
        <v>527</v>
      </c>
      <c r="BU31" s="22"/>
      <c r="BV31" s="22"/>
      <c r="BW31" s="22"/>
      <c r="BX31" s="22"/>
      <c r="BY31" s="22"/>
      <c r="BZ31" s="22"/>
      <c r="CA31" s="22"/>
      <c r="CB31" s="22"/>
      <c r="CC31" s="22">
        <v>732</v>
      </c>
      <c r="CD31" s="22">
        <v>194</v>
      </c>
      <c r="CE31" s="22">
        <v>10</v>
      </c>
      <c r="CF31" s="22">
        <v>519</v>
      </c>
      <c r="CG31" s="22"/>
      <c r="CH31" s="22"/>
      <c r="CI31" s="22"/>
      <c r="CJ31" s="22"/>
      <c r="CK31" s="22"/>
      <c r="CL31" s="22"/>
      <c r="CM31" s="22"/>
      <c r="CN31" s="22"/>
      <c r="CO31" s="22"/>
      <c r="CP31" s="22">
        <v>626</v>
      </c>
      <c r="CQ31" s="22">
        <v>137</v>
      </c>
      <c r="CR31" s="22">
        <v>12</v>
      </c>
      <c r="CS31" s="22">
        <v>463</v>
      </c>
      <c r="CT31" s="22"/>
      <c r="CU31" s="22"/>
      <c r="CV31" s="22"/>
      <c r="CW31" s="22"/>
      <c r="CX31" s="22"/>
      <c r="CY31" s="22"/>
      <c r="CZ31" s="22"/>
      <c r="DA31" s="22"/>
      <c r="DB31" s="22"/>
      <c r="DC31" s="22">
        <v>751</v>
      </c>
      <c r="DD31" s="22">
        <v>178</v>
      </c>
      <c r="DE31" s="22">
        <v>8</v>
      </c>
      <c r="DF31" s="22">
        <v>553</v>
      </c>
      <c r="DG31" s="22"/>
      <c r="DH31" s="22"/>
      <c r="DI31" s="22"/>
      <c r="DJ31" s="22"/>
      <c r="DK31" s="22"/>
      <c r="DL31" s="22"/>
      <c r="DM31" s="22"/>
      <c r="DN31" s="22"/>
      <c r="DO31" s="22"/>
      <c r="DP31" s="22">
        <v>775</v>
      </c>
      <c r="DQ31" s="22">
        <v>192</v>
      </c>
      <c r="DR31" s="22">
        <v>10</v>
      </c>
      <c r="DS31" s="22">
        <v>555</v>
      </c>
      <c r="DT31" s="22"/>
      <c r="DU31" s="22"/>
      <c r="DV31" s="22"/>
      <c r="DW31" s="22"/>
      <c r="DX31" s="22"/>
      <c r="DY31" s="22"/>
      <c r="DZ31" s="22"/>
      <c r="EA31" s="22"/>
      <c r="EB31" s="22"/>
      <c r="EC31" s="22">
        <v>711</v>
      </c>
      <c r="ED31" s="22">
        <v>184</v>
      </c>
      <c r="EE31" s="22">
        <v>11</v>
      </c>
      <c r="EF31" s="22">
        <v>513</v>
      </c>
      <c r="EG31" s="22"/>
      <c r="EH31" s="22"/>
      <c r="EI31" s="22"/>
      <c r="EJ31" s="22"/>
      <c r="EK31" s="22"/>
      <c r="EL31" s="22"/>
      <c r="EM31" s="22"/>
      <c r="EN31" s="22"/>
      <c r="EO31" s="22"/>
      <c r="EP31" s="22">
        <v>745</v>
      </c>
      <c r="EQ31" s="22">
        <v>181</v>
      </c>
      <c r="ER31" s="22">
        <v>10</v>
      </c>
      <c r="ES31" s="22">
        <v>548</v>
      </c>
      <c r="ET31" s="22"/>
      <c r="EU31" s="22"/>
      <c r="EV31" s="22"/>
      <c r="EW31" s="22"/>
      <c r="EX31" s="22"/>
      <c r="EY31" s="22"/>
      <c r="EZ31" s="22"/>
      <c r="FA31" s="22"/>
      <c r="FB31" s="22"/>
      <c r="FC31">
        <v>8425</v>
      </c>
      <c r="FD31">
        <v>2101</v>
      </c>
      <c r="FE31">
        <v>10.9</v>
      </c>
      <c r="FF31">
        <v>6054</v>
      </c>
    </row>
    <row r="32" spans="1:168" s="18" customFormat="1">
      <c r="A32" s="50">
        <v>31</v>
      </c>
      <c r="B32" s="51" t="s">
        <v>258</v>
      </c>
      <c r="C32" s="79">
        <v>4317</v>
      </c>
      <c r="D32" s="79">
        <v>6472</v>
      </c>
      <c r="E32" s="79">
        <v>230</v>
      </c>
      <c r="F32" s="79">
        <v>10.5</v>
      </c>
      <c r="G32" s="79">
        <v>16</v>
      </c>
      <c r="H32" s="79">
        <v>20</v>
      </c>
      <c r="I32" s="79"/>
      <c r="J32" s="79"/>
      <c r="K32" s="79"/>
      <c r="L32" s="79"/>
      <c r="M32" s="79"/>
      <c r="N32" s="79"/>
      <c r="O32" s="79"/>
      <c r="P32" s="79">
        <v>3551</v>
      </c>
      <c r="Q32" s="79">
        <v>6469</v>
      </c>
      <c r="R32" s="79">
        <v>224</v>
      </c>
      <c r="S32" s="79">
        <v>10.7</v>
      </c>
      <c r="T32" s="79">
        <v>16</v>
      </c>
      <c r="U32" s="79">
        <v>20</v>
      </c>
      <c r="V32" s="79"/>
      <c r="W32" s="79"/>
      <c r="X32" s="79"/>
      <c r="Y32" s="79"/>
      <c r="Z32" s="79"/>
      <c r="AA32" s="79"/>
      <c r="AB32" s="79"/>
      <c r="AC32" s="79">
        <v>4016</v>
      </c>
      <c r="AD32" s="79">
        <v>6568</v>
      </c>
      <c r="AE32" s="79">
        <v>203</v>
      </c>
      <c r="AF32" s="79">
        <v>9.6999999999999993</v>
      </c>
      <c r="AG32" s="79">
        <v>16</v>
      </c>
      <c r="AH32" s="79">
        <v>20</v>
      </c>
      <c r="AI32" s="79"/>
      <c r="AJ32" s="79"/>
      <c r="AK32" s="79"/>
      <c r="AL32" s="79"/>
      <c r="AM32" s="79"/>
      <c r="AN32" s="79"/>
      <c r="AO32" s="79"/>
      <c r="AP32" s="79">
        <v>4165</v>
      </c>
      <c r="AQ32" s="79">
        <v>6572</v>
      </c>
      <c r="AR32" s="79">
        <v>194</v>
      </c>
      <c r="AS32" s="79">
        <v>8.8000000000000007</v>
      </c>
      <c r="AT32" s="79">
        <v>16</v>
      </c>
      <c r="AU32" s="79">
        <v>20</v>
      </c>
      <c r="AV32" s="79"/>
      <c r="AW32" s="79"/>
      <c r="AX32" s="79"/>
      <c r="AY32" s="79"/>
      <c r="AZ32" s="79"/>
      <c r="BA32" s="79"/>
      <c r="BB32" s="79"/>
      <c r="BC32" s="79">
        <v>3482</v>
      </c>
      <c r="BD32" s="79">
        <v>6574</v>
      </c>
      <c r="BE32" s="79">
        <v>183</v>
      </c>
      <c r="BF32" s="79">
        <v>10.199999999999999</v>
      </c>
      <c r="BG32" s="79">
        <v>16</v>
      </c>
      <c r="BH32" s="79">
        <v>20</v>
      </c>
      <c r="BI32" s="79"/>
      <c r="BJ32" s="79"/>
      <c r="BK32" s="79"/>
      <c r="BL32" s="79"/>
      <c r="BM32" s="79"/>
      <c r="BN32" s="79"/>
      <c r="BO32" s="79"/>
      <c r="BP32" s="79">
        <v>4318</v>
      </c>
      <c r="BQ32" s="79">
        <v>6575</v>
      </c>
      <c r="BR32" s="79">
        <v>158</v>
      </c>
      <c r="BS32" s="79">
        <v>7.5</v>
      </c>
      <c r="BT32" s="79">
        <v>16</v>
      </c>
      <c r="BU32" s="79">
        <v>20</v>
      </c>
      <c r="BV32" s="79"/>
      <c r="BW32" s="79"/>
      <c r="BX32" s="79"/>
      <c r="BY32" s="79"/>
      <c r="BZ32" s="79"/>
      <c r="CA32" s="79"/>
      <c r="CB32" s="79"/>
      <c r="CC32" s="79">
        <v>3657</v>
      </c>
      <c r="CD32" s="79">
        <v>6580</v>
      </c>
      <c r="CE32" s="79">
        <v>190</v>
      </c>
      <c r="CF32" s="79">
        <v>10</v>
      </c>
      <c r="CG32" s="79">
        <v>17</v>
      </c>
      <c r="CH32" s="79">
        <v>20</v>
      </c>
      <c r="CI32" s="79"/>
      <c r="CJ32" s="79"/>
      <c r="CK32" s="79"/>
      <c r="CL32" s="79"/>
      <c r="CM32" s="79"/>
      <c r="CN32" s="79"/>
      <c r="CO32" s="79"/>
      <c r="CP32" s="79">
        <v>3643</v>
      </c>
      <c r="CQ32" s="79">
        <v>6690</v>
      </c>
      <c r="CR32" s="79">
        <v>166</v>
      </c>
      <c r="CS32" s="79">
        <v>8.3000000000000007</v>
      </c>
      <c r="CT32" s="79">
        <v>17</v>
      </c>
      <c r="CU32" s="79">
        <v>20</v>
      </c>
      <c r="CV32" s="79"/>
      <c r="CW32" s="79"/>
      <c r="CX32" s="79"/>
      <c r="CY32" s="79"/>
      <c r="CZ32" s="79"/>
      <c r="DA32" s="79"/>
      <c r="DB32" s="79"/>
      <c r="DC32" s="79">
        <v>4575</v>
      </c>
      <c r="DD32" s="79">
        <v>6799</v>
      </c>
      <c r="DE32" s="79">
        <v>212</v>
      </c>
      <c r="DF32" s="79">
        <v>10.1</v>
      </c>
      <c r="DG32" s="79">
        <v>17</v>
      </c>
      <c r="DH32" s="79">
        <v>20</v>
      </c>
      <c r="DI32" s="79"/>
      <c r="DJ32" s="79"/>
      <c r="DK32" s="79"/>
      <c r="DL32" s="79"/>
      <c r="DM32" s="79"/>
      <c r="DN32" s="79"/>
      <c r="DO32" s="79"/>
      <c r="DP32" s="79">
        <v>4005</v>
      </c>
      <c r="DQ32" s="18">
        <v>8446</v>
      </c>
      <c r="DR32" s="18">
        <v>199</v>
      </c>
      <c r="DS32" s="79">
        <v>9.5</v>
      </c>
      <c r="DT32" s="79">
        <v>17</v>
      </c>
      <c r="DU32" s="79">
        <v>20</v>
      </c>
      <c r="DV32" s="79"/>
      <c r="EC32" s="18">
        <v>3386</v>
      </c>
      <c r="ED32" s="18">
        <v>6859</v>
      </c>
      <c r="EE32" s="18">
        <v>200</v>
      </c>
      <c r="EF32" s="18">
        <v>10</v>
      </c>
      <c r="EG32" s="18">
        <v>17</v>
      </c>
      <c r="EH32" s="18">
        <v>20</v>
      </c>
      <c r="EP32" s="18">
        <v>4493</v>
      </c>
      <c r="EQ32" s="18">
        <v>6863</v>
      </c>
      <c r="ER32" s="18">
        <v>171</v>
      </c>
      <c r="ES32" s="18">
        <v>7.8</v>
      </c>
      <c r="ET32" s="18">
        <v>17</v>
      </c>
      <c r="EU32" s="18">
        <v>20</v>
      </c>
      <c r="FC32" s="18">
        <v>45055</v>
      </c>
      <c r="FD32" s="18">
        <v>5492</v>
      </c>
      <c r="FE32" s="18">
        <v>2470</v>
      </c>
      <c r="FF32" s="18">
        <v>9.9499999999999993</v>
      </c>
      <c r="FG32" s="18">
        <v>14.1</v>
      </c>
      <c r="FH32" s="18">
        <v>18.100000000000001</v>
      </c>
    </row>
    <row r="33" spans="1:163">
      <c r="A33" s="49">
        <v>32</v>
      </c>
      <c r="B33" s="52">
        <v>911</v>
      </c>
      <c r="C33" s="22">
        <v>10163</v>
      </c>
      <c r="D33" s="22">
        <v>2.14</v>
      </c>
      <c r="E33" s="22">
        <v>1.05</v>
      </c>
      <c r="F33" s="22">
        <v>3.32</v>
      </c>
      <c r="G33" s="22">
        <v>4.2</v>
      </c>
      <c r="H33" s="22"/>
      <c r="I33" s="22"/>
      <c r="J33" s="22"/>
      <c r="K33" s="22"/>
      <c r="L33" s="22"/>
      <c r="M33" s="22"/>
      <c r="N33" s="22"/>
      <c r="O33" s="22"/>
      <c r="P33" s="22">
        <v>9646</v>
      </c>
      <c r="Q33" s="22">
        <v>2.29</v>
      </c>
      <c r="R33" s="22">
        <v>0.56999999999999995</v>
      </c>
      <c r="S33" s="22">
        <v>3.23</v>
      </c>
      <c r="T33" s="22">
        <v>3.9</v>
      </c>
      <c r="U33" s="22"/>
      <c r="V33" s="22"/>
      <c r="W33" s="22"/>
      <c r="X33" s="22"/>
      <c r="Y33" s="22"/>
      <c r="Z33" s="22"/>
      <c r="AA33" s="22"/>
      <c r="AB33" s="22"/>
      <c r="AC33" s="22">
        <v>9491</v>
      </c>
      <c r="AD33" s="22">
        <v>2.35</v>
      </c>
      <c r="AE33" s="22">
        <v>0.53</v>
      </c>
      <c r="AF33" s="22">
        <v>3.19</v>
      </c>
      <c r="AG33" s="22">
        <v>4.0999999999999996</v>
      </c>
      <c r="AH33" s="22"/>
      <c r="AI33" s="22"/>
      <c r="AJ33" s="22"/>
      <c r="AK33" s="22"/>
      <c r="AL33" s="22"/>
      <c r="AM33" s="22"/>
      <c r="AN33" s="22"/>
      <c r="AO33" s="22"/>
      <c r="AP33" s="22">
        <v>9859</v>
      </c>
      <c r="AQ33" s="22">
        <v>3.23</v>
      </c>
      <c r="AR33" s="22">
        <v>1.02</v>
      </c>
      <c r="AS33" s="22">
        <v>3.22</v>
      </c>
      <c r="AT33" s="37">
        <v>4.3</v>
      </c>
      <c r="AU33" s="22"/>
      <c r="AV33" s="22"/>
      <c r="AW33" s="22"/>
      <c r="AX33" s="22"/>
      <c r="AY33" s="22"/>
      <c r="AZ33" s="22"/>
      <c r="BA33" s="22"/>
      <c r="BB33" s="22"/>
      <c r="BC33" s="22">
        <v>9173</v>
      </c>
      <c r="BD33" s="22">
        <v>2.2000000000000002</v>
      </c>
      <c r="BE33" s="22">
        <v>1.05</v>
      </c>
      <c r="BF33" s="22">
        <v>3.29</v>
      </c>
      <c r="BG33" s="22">
        <v>3.9</v>
      </c>
      <c r="BH33" s="22"/>
      <c r="BI33" s="22"/>
      <c r="BJ33" s="22"/>
      <c r="BK33" s="22"/>
      <c r="BL33" s="22"/>
      <c r="BM33" s="22"/>
      <c r="BN33" s="22"/>
      <c r="BO33" s="22"/>
      <c r="BP33" s="22">
        <v>8903</v>
      </c>
      <c r="BQ33" s="22">
        <v>2.36</v>
      </c>
      <c r="BR33" s="22">
        <v>1.06</v>
      </c>
      <c r="BS33" s="22">
        <v>4.01</v>
      </c>
      <c r="BT33" s="22">
        <v>3.88</v>
      </c>
      <c r="BU33" s="22"/>
      <c r="BV33" s="22"/>
      <c r="BW33" s="22"/>
      <c r="BX33" s="22"/>
      <c r="BY33" s="22"/>
      <c r="BZ33" s="22"/>
      <c r="CA33" s="22"/>
      <c r="CB33" s="22"/>
      <c r="CC33" s="22">
        <v>9122</v>
      </c>
      <c r="CD33" s="22">
        <v>2.4</v>
      </c>
      <c r="CE33" s="22">
        <v>1.02</v>
      </c>
      <c r="CF33" s="22">
        <v>2.5</v>
      </c>
      <c r="CG33" s="22">
        <v>3.89</v>
      </c>
      <c r="CH33" s="22"/>
      <c r="CI33" s="22"/>
      <c r="CJ33" s="22"/>
      <c r="CK33" s="22"/>
      <c r="CL33" s="22"/>
      <c r="CM33" s="22"/>
      <c r="CN33" s="22"/>
      <c r="CO33" s="22"/>
      <c r="CP33" s="22">
        <v>8558</v>
      </c>
      <c r="CQ33" s="22">
        <v>2.39</v>
      </c>
      <c r="CR33" s="22">
        <v>0.56999999999999995</v>
      </c>
      <c r="CS33" s="22">
        <v>4.01</v>
      </c>
      <c r="CT33" s="22">
        <v>4</v>
      </c>
      <c r="CU33" s="22"/>
      <c r="CV33" s="22"/>
      <c r="CW33" s="22"/>
      <c r="CX33" s="22"/>
      <c r="CY33" s="22"/>
      <c r="CZ33" s="22"/>
      <c r="DA33" s="22"/>
      <c r="DB33" s="22"/>
      <c r="DC33" s="22">
        <v>10150</v>
      </c>
      <c r="DD33" s="22">
        <v>2.09</v>
      </c>
      <c r="DE33" s="22">
        <v>1.03</v>
      </c>
      <c r="DF33" s="22">
        <v>3.27</v>
      </c>
      <c r="DG33" s="22">
        <v>4.33</v>
      </c>
      <c r="DH33" s="22"/>
      <c r="DI33" s="22"/>
      <c r="DJ33" s="22"/>
      <c r="DK33" s="22"/>
      <c r="DL33" s="22"/>
      <c r="DM33" s="22"/>
      <c r="DN33" s="22"/>
      <c r="DO33" s="22"/>
      <c r="DP33" s="22">
        <v>10106</v>
      </c>
      <c r="DQ33">
        <v>2.19</v>
      </c>
      <c r="DR33">
        <v>1.45</v>
      </c>
      <c r="DS33" s="22">
        <v>3.4</v>
      </c>
      <c r="DT33" s="22">
        <v>4.7</v>
      </c>
      <c r="EC33">
        <v>10332</v>
      </c>
      <c r="ED33">
        <v>2.11</v>
      </c>
      <c r="EE33">
        <v>1.01</v>
      </c>
      <c r="EF33">
        <v>4.1500000000000004</v>
      </c>
      <c r="EG33">
        <v>4.51</v>
      </c>
      <c r="EP33">
        <v>10308</v>
      </c>
      <c r="EQ33">
        <v>2.33</v>
      </c>
      <c r="ER33">
        <v>1.01</v>
      </c>
      <c r="ES33">
        <v>3.41</v>
      </c>
      <c r="ET33">
        <v>4.57</v>
      </c>
      <c r="FC33">
        <v>110343</v>
      </c>
      <c r="FD33">
        <v>2.12</v>
      </c>
      <c r="FE33">
        <v>0.97</v>
      </c>
      <c r="FF33">
        <v>3.46</v>
      </c>
      <c r="FG33">
        <v>3.85</v>
      </c>
    </row>
    <row r="34" spans="1:163">
      <c r="A34" s="49">
        <v>33</v>
      </c>
      <c r="B34" s="73" t="s">
        <v>6</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v>334</v>
      </c>
      <c r="CD34" s="22">
        <v>183</v>
      </c>
      <c r="CE34" s="22">
        <v>31</v>
      </c>
      <c r="CF34" s="22"/>
      <c r="CG34" s="22"/>
      <c r="CH34" s="22">
        <v>80</v>
      </c>
      <c r="CI34" s="22">
        <v>151</v>
      </c>
      <c r="CJ34" s="22">
        <v>61</v>
      </c>
      <c r="CK34" s="22">
        <v>7</v>
      </c>
      <c r="CL34" s="22">
        <v>58</v>
      </c>
      <c r="CM34" s="22">
        <v>3063</v>
      </c>
      <c r="CN34" s="22"/>
      <c r="CO34" s="22"/>
      <c r="CP34" s="22">
        <v>359</v>
      </c>
      <c r="CQ34" s="22">
        <v>252</v>
      </c>
      <c r="CR34" s="22">
        <v>43</v>
      </c>
      <c r="CS34" s="22"/>
      <c r="CT34" s="22">
        <v>65</v>
      </c>
      <c r="CU34" s="22">
        <v>47</v>
      </c>
      <c r="CV34" s="22">
        <v>155</v>
      </c>
      <c r="CW34" s="22">
        <v>30</v>
      </c>
      <c r="CX34" s="22">
        <v>10</v>
      </c>
      <c r="CY34" s="22">
        <v>59</v>
      </c>
      <c r="CZ34" s="22">
        <v>1262</v>
      </c>
      <c r="DA34" s="22"/>
      <c r="DB34" s="22"/>
      <c r="DC34" s="22">
        <v>128</v>
      </c>
      <c r="DD34" s="22">
        <v>110</v>
      </c>
      <c r="DE34" s="22">
        <v>121</v>
      </c>
      <c r="DF34" s="22">
        <v>9</v>
      </c>
      <c r="DG34" s="22">
        <v>114</v>
      </c>
      <c r="DH34" s="22">
        <v>56</v>
      </c>
      <c r="DI34" s="22">
        <v>1039</v>
      </c>
      <c r="DJ34" s="22">
        <v>135</v>
      </c>
      <c r="DK34" s="22">
        <v>44</v>
      </c>
      <c r="DL34" s="22">
        <v>62</v>
      </c>
      <c r="DM34" s="22">
        <v>3023</v>
      </c>
      <c r="DN34" s="22"/>
      <c r="DO34" s="22"/>
      <c r="DP34" s="22">
        <v>113</v>
      </c>
      <c r="DQ34" s="22">
        <v>82</v>
      </c>
      <c r="DR34" s="22">
        <v>52</v>
      </c>
      <c r="DS34" s="22">
        <v>0</v>
      </c>
      <c r="DT34" s="22">
        <v>6</v>
      </c>
      <c r="DU34" s="22">
        <v>25</v>
      </c>
      <c r="DV34" s="22">
        <v>79</v>
      </c>
      <c r="DW34" s="22">
        <v>49</v>
      </c>
      <c r="DX34" s="22">
        <v>49</v>
      </c>
      <c r="DY34" s="22">
        <v>26</v>
      </c>
      <c r="DZ34" s="22">
        <v>2241</v>
      </c>
      <c r="EC34" s="22">
        <v>163</v>
      </c>
      <c r="ED34" s="22">
        <v>153</v>
      </c>
      <c r="EE34" s="22">
        <v>55</v>
      </c>
      <c r="EF34" s="22">
        <v>1</v>
      </c>
      <c r="EG34" s="22">
        <v>1</v>
      </c>
      <c r="EH34" s="22">
        <v>41</v>
      </c>
      <c r="EI34" s="22">
        <v>108</v>
      </c>
      <c r="EJ34" s="22">
        <v>53</v>
      </c>
      <c r="EK34" s="22">
        <v>42</v>
      </c>
      <c r="EL34" s="22">
        <v>0</v>
      </c>
      <c r="EM34" s="22">
        <v>1894</v>
      </c>
      <c r="EP34" s="22">
        <v>207</v>
      </c>
      <c r="EQ34" s="22">
        <v>145</v>
      </c>
      <c r="ER34" s="22">
        <v>58</v>
      </c>
      <c r="ES34" s="22">
        <v>15</v>
      </c>
      <c r="ET34" s="22">
        <v>15</v>
      </c>
      <c r="EU34" s="22">
        <v>28</v>
      </c>
      <c r="EV34" s="22">
        <v>135</v>
      </c>
      <c r="EW34" s="22">
        <v>77</v>
      </c>
      <c r="EX34" s="22">
        <v>38</v>
      </c>
      <c r="EY34" s="22">
        <v>2</v>
      </c>
      <c r="EZ34" s="22">
        <v>2631</v>
      </c>
    </row>
    <row r="35" spans="1:163">
      <c r="A35" s="72"/>
      <c r="B35" s="73"/>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S35" s="22"/>
      <c r="DT35" s="22"/>
    </row>
    <row r="36" spans="1:163">
      <c r="A36" s="72"/>
      <c r="B36" s="73"/>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S36" s="22"/>
      <c r="DT36" s="22"/>
      <c r="DU36" s="22"/>
    </row>
    <row r="37" spans="1:163">
      <c r="A37" s="72"/>
      <c r="B37" s="73"/>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S37" s="22"/>
      <c r="DT37" s="22"/>
      <c r="DU37" s="22"/>
      <c r="DV37" s="22"/>
    </row>
    <row r="38" spans="1:163">
      <c r="A38" s="72"/>
      <c r="B38" s="72"/>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S38" s="22"/>
      <c r="DT38" s="22"/>
    </row>
    <row r="39" spans="1:163">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row>
    <row r="40" spans="1:163">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row>
    <row r="41" spans="1:163">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row>
    <row r="42" spans="1:163">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row>
    <row r="43" spans="1:163">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row>
    <row r="44" spans="1:163">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row>
    <row r="45" spans="1:163">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row>
    <row r="46" spans="1:163">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row>
    <row r="47" spans="1:163">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row>
    <row r="48" spans="1:163">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row>
    <row r="49" spans="2:120">
      <c r="C49" s="22"/>
      <c r="D49" s="22"/>
      <c r="E49" s="22"/>
      <c r="F49" s="24"/>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row>
    <row r="50" spans="2:12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row>
    <row r="51" spans="2:120">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row>
    <row r="52" spans="2:120">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row>
    <row r="53" spans="2:120">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row>
    <row r="54" spans="2:120">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row>
    <row r="55" spans="2:120">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row>
    <row r="56" spans="2:120">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row>
    <row r="57" spans="2:120">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row>
    <row r="58" spans="2:120">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row>
    <row r="59" spans="2:120">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row>
    <row r="60" spans="2:120">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row>
    <row r="61" spans="2:120">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row>
    <row r="62" spans="2:120">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row>
    <row r="63" spans="2:120">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row>
    <row r="64" spans="2:120">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row>
    <row r="65" spans="2:120">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row>
    <row r="66" spans="2:120">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row>
    <row r="67" spans="2:120">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row>
    <row r="68" spans="2:120">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row>
    <row r="69" spans="2:120">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row>
    <row r="70" spans="2:120">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row>
    <row r="71" spans="2:120">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row>
    <row r="72" spans="2:120">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row>
    <row r="73" spans="2:120">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row>
    <row r="74" spans="2:120">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row>
    <row r="75" spans="2:120">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row>
    <row r="76" spans="2:120">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row>
    <row r="77" spans="2:120">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row>
    <row r="78" spans="2:120">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row>
    <row r="79" spans="2:120">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row>
    <row r="80" spans="2:120">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row>
    <row r="81" spans="2:120">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row>
    <row r="82" spans="2:120">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row>
    <row r="83" spans="2:120">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row>
    <row r="84" spans="2:120">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row>
    <row r="85" spans="2:120">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row>
    <row r="86" spans="2:120">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row>
    <row r="87" spans="2:120">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row>
    <row r="88" spans="2:120">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row>
    <row r="89" spans="2:120">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row>
    <row r="90" spans="2:120">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row>
    <row r="91" spans="2:120">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row>
    <row r="92" spans="2:120">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row>
    <row r="93" spans="2:120">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row>
    <row r="94" spans="2:120">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row>
    <row r="95" spans="2:120">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row>
    <row r="96" spans="2:120">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row>
    <row r="97" spans="2:120">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row>
    <row r="98" spans="2:120">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row>
    <row r="99" spans="2:120">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row>
    <row r="100" spans="2:120">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row>
    <row r="101" spans="2:120">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row>
    <row r="102" spans="2:120">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row>
    <row r="103" spans="2:120">
      <c r="B103" s="2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row>
    <row r="104" spans="2:120">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row>
    <row r="105" spans="2:120">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row>
    <row r="106" spans="2:120">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row>
    <row r="107" spans="2:120">
      <c r="B107" s="2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row>
    <row r="108" spans="2:120">
      <c r="B108" s="25"/>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row>
    <row r="109" spans="2:120">
      <c r="B109" s="25"/>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row>
    <row r="110" spans="2:120">
      <c r="B110" s="25"/>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row>
    <row r="111" spans="2:120">
      <c r="B111" s="25"/>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row>
    <row r="112" spans="2:120">
      <c r="B112" s="25"/>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row>
    <row r="113" spans="2:120">
      <c r="B113" s="25"/>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row>
    <row r="114" spans="2:120">
      <c r="B114" s="26"/>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row>
    <row r="115" spans="2:120">
      <c r="B115" s="25"/>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row>
    <row r="116" spans="2:120">
      <c r="B116" s="25"/>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row>
    <row r="117" spans="2:120">
      <c r="B117" s="25"/>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row>
    <row r="118" spans="2:120">
      <c r="B118" s="25"/>
      <c r="C118" s="22"/>
      <c r="D118" s="22"/>
      <c r="E118" s="22"/>
      <c r="F118" s="27"/>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row>
    <row r="119" spans="2:120">
      <c r="B119" s="25"/>
      <c r="C119" s="22"/>
      <c r="D119" s="22"/>
      <c r="E119" s="22"/>
      <c r="F119" s="27"/>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row>
    <row r="120" spans="2:120">
      <c r="B120" s="25"/>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row>
    <row r="121" spans="2:120">
      <c r="B121" s="25"/>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row>
    <row r="122" spans="2:120">
      <c r="B122" s="25"/>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row>
    <row r="123" spans="2:120">
      <c r="B123" s="25"/>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row>
    <row r="124" spans="2:120">
      <c r="B124" s="25"/>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row>
    <row r="125" spans="2:120">
      <c r="B125" s="25"/>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row>
    <row r="126" spans="2:120">
      <c r="B126" s="26"/>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row>
    <row r="127" spans="2:120">
      <c r="B127" s="25"/>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row>
    <row r="128" spans="2:120">
      <c r="B128" s="25"/>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row>
    <row r="129" spans="2:120">
      <c r="B129" s="25"/>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row>
    <row r="130" spans="2:120">
      <c r="B130" s="25"/>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row>
    <row r="131" spans="2:120">
      <c r="B131" s="25"/>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row>
    <row r="132" spans="2:120">
      <c r="B132" s="26"/>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row>
    <row r="133" spans="2:120">
      <c r="B133" s="25"/>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row>
    <row r="134" spans="2:120">
      <c r="B134" s="25"/>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row>
    <row r="135" spans="2:120">
      <c r="B135" s="25"/>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row>
    <row r="136" spans="2:120">
      <c r="B136" s="25"/>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row>
    <row r="137" spans="2:120">
      <c r="B137" s="25"/>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row>
    <row r="138" spans="2:120">
      <c r="B138" s="25"/>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row>
    <row r="139" spans="2:120">
      <c r="B139" s="25"/>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row>
    <row r="140" spans="2:120">
      <c r="B140" s="25"/>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row>
    <row r="141" spans="2:120">
      <c r="B141" s="25"/>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row>
    <row r="142" spans="2:120">
      <c r="B142" s="25"/>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row>
    <row r="143" spans="2:120">
      <c r="B143" s="25"/>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row>
    <row r="144" spans="2:120">
      <c r="B144" s="25"/>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row>
    <row r="145" spans="2:120">
      <c r="B145" s="25"/>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row>
    <row r="146" spans="2:120">
      <c r="B146" s="25"/>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row>
    <row r="147" spans="2:120">
      <c r="B147" s="25"/>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row>
    <row r="148" spans="2:120">
      <c r="B148" s="25"/>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row>
    <row r="149" spans="2:120">
      <c r="B149" s="25"/>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row>
    <row r="150" spans="2:120">
      <c r="B150" s="25"/>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row>
    <row r="151" spans="2:120">
      <c r="B151" s="25"/>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row>
    <row r="152" spans="2:120">
      <c r="B152" s="25"/>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row>
    <row r="153" spans="2:120">
      <c r="B153" s="25"/>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row>
    <row r="154" spans="2:120">
      <c r="B154" s="25"/>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row>
    <row r="155" spans="2:120">
      <c r="B155" s="25"/>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row>
    <row r="156" spans="2:120">
      <c r="B156" s="25"/>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row>
    <row r="157" spans="2:120">
      <c r="B157" s="25"/>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row>
    <row r="158" spans="2:120">
      <c r="B158" s="25"/>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row>
    <row r="159" spans="2:120">
      <c r="B159" s="25"/>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row>
    <row r="160" spans="2:120">
      <c r="B160" s="25"/>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row>
    <row r="161" spans="2:120">
      <c r="B161" s="25"/>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row>
    <row r="162" spans="2:120">
      <c r="B162" s="25"/>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row>
    <row r="163" spans="2:120">
      <c r="B163" s="25"/>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row>
    <row r="164" spans="2:120">
      <c r="B164" s="25"/>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row>
    <row r="165" spans="2:120">
      <c r="B165" s="25"/>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row>
    <row r="166" spans="2:120">
      <c r="B166" s="25"/>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row>
    <row r="167" spans="2:120">
      <c r="B167" s="25"/>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row>
    <row r="168" spans="2:120">
      <c r="B168" s="25"/>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row>
    <row r="169" spans="2:120">
      <c r="B169" s="25"/>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row>
    <row r="170" spans="2:120">
      <c r="B170" s="25"/>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row>
    <row r="171" spans="2:120">
      <c r="B171" s="25"/>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row>
    <row r="172" spans="2:120">
      <c r="B172" s="25"/>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row>
    <row r="173" spans="2:120">
      <c r="B173" s="25"/>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row>
    <row r="174" spans="2:120">
      <c r="B174" s="25"/>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row>
    <row r="175" spans="2:120">
      <c r="B175" s="25"/>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row>
    <row r="176" spans="2:120">
      <c r="B176" s="25"/>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row>
    <row r="177" spans="2:120">
      <c r="B177" s="25"/>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row>
    <row r="178" spans="2:120">
      <c r="B178" s="25"/>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row>
    <row r="179" spans="2:120">
      <c r="B179" s="25"/>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row>
    <row r="180" spans="2:120">
      <c r="B180" s="25"/>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row>
    <row r="181" spans="2:120">
      <c r="B181" s="25"/>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row>
    <row r="182" spans="2:120">
      <c r="B182" s="25"/>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row>
    <row r="183" spans="2:120">
      <c r="B183" s="25"/>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row>
    <row r="184" spans="2:120">
      <c r="B184" s="25"/>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row>
    <row r="185" spans="2:120">
      <c r="B185" s="25"/>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row>
    <row r="186" spans="2:120">
      <c r="B186" s="25"/>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row>
    <row r="187" spans="2:120">
      <c r="B187" s="25"/>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row>
    <row r="188" spans="2:120">
      <c r="B188" s="25"/>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row>
    <row r="189" spans="2:120">
      <c r="B189" s="25"/>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row>
    <row r="190" spans="2:120">
      <c r="B190" s="25"/>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row>
    <row r="191" spans="2:120">
      <c r="B191" s="25"/>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row>
    <row r="192" spans="2:120">
      <c r="B192" s="25"/>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row>
    <row r="193" spans="2:120">
      <c r="B193" s="25"/>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row>
    <row r="194" spans="2:120">
      <c r="B194" s="25"/>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row>
    <row r="195" spans="2:120">
      <c r="B195" s="25"/>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row>
    <row r="196" spans="2:120">
      <c r="B196" s="25"/>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row>
    <row r="197" spans="2:120">
      <c r="B197" s="25"/>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row>
    <row r="198" spans="2:120">
      <c r="B198" s="25"/>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row>
    <row r="199" spans="2:120">
      <c r="B199" s="25"/>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row>
    <row r="200" spans="2:120">
      <c r="B200" s="25"/>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row>
    <row r="201" spans="2:120">
      <c r="B201" s="25"/>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row>
    <row r="202" spans="2:120">
      <c r="B202" s="25"/>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row>
    <row r="203" spans="2:120">
      <c r="B203" s="25"/>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row>
    <row r="204" spans="2:120">
      <c r="B204" s="25"/>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row>
    <row r="205" spans="2:120">
      <c r="B205" s="25"/>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row>
    <row r="206" spans="2:120">
      <c r="B206" s="25"/>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row>
    <row r="207" spans="2:120">
      <c r="B207" s="25"/>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row>
    <row r="208" spans="2:120">
      <c r="B208" s="25"/>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row>
    <row r="209" spans="2:120">
      <c r="B209" s="25"/>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row>
    <row r="210" spans="2:120">
      <c r="B210" s="25"/>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row>
    <row r="211" spans="2:120">
      <c r="B211" s="25"/>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row>
    <row r="212" spans="2:120">
      <c r="B212" s="25"/>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row>
    <row r="213" spans="2:120">
      <c r="B213" s="25"/>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row>
    <row r="214" spans="2:120">
      <c r="B214" s="25"/>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row>
    <row r="215" spans="2:120">
      <c r="B215" s="25"/>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row>
    <row r="216" spans="2:120">
      <c r="B216" s="25"/>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row>
    <row r="217" spans="2:120">
      <c r="B217" s="25"/>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row>
    <row r="218" spans="2:120">
      <c r="B218" s="25"/>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row>
    <row r="219" spans="2:120">
      <c r="B219" s="25"/>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row>
    <row r="220" spans="2:120">
      <c r="B220" s="25"/>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row>
    <row r="221" spans="2:120">
      <c r="B221" s="25"/>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row>
    <row r="222" spans="2:120">
      <c r="B222" s="25"/>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row>
    <row r="223" spans="2:120">
      <c r="B223" s="25"/>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row>
    <row r="224" spans="2:120">
      <c r="B224" s="25"/>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row>
    <row r="225" spans="2:120">
      <c r="B225" s="25"/>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row>
    <row r="226" spans="2:120">
      <c r="B226" s="25"/>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row>
    <row r="227" spans="2:120">
      <c r="B227" s="25"/>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row>
    <row r="228" spans="2:120">
      <c r="B228" s="25"/>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row>
    <row r="229" spans="2:120">
      <c r="B229" s="25"/>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row>
    <row r="230" spans="2:120">
      <c r="B230" s="25"/>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row>
    <row r="231" spans="2:120">
      <c r="B231" s="25"/>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c r="DL231" s="22"/>
      <c r="DM231" s="22"/>
      <c r="DN231" s="22"/>
      <c r="DO231" s="22"/>
      <c r="DP231" s="22"/>
    </row>
    <row r="232" spans="2:120">
      <c r="B232" s="25"/>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row>
    <row r="233" spans="2:120">
      <c r="B233" s="25"/>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row>
    <row r="234" spans="2:120">
      <c r="B234" s="25"/>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row>
    <row r="235" spans="2:120">
      <c r="B235" s="25"/>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row>
    <row r="236" spans="2:120">
      <c r="B236" s="25"/>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row>
    <row r="237" spans="2:120">
      <c r="B237" s="25"/>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row>
    <row r="238" spans="2:120">
      <c r="B238" s="25"/>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row>
    <row r="239" spans="2:120">
      <c r="B239" s="25"/>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row>
    <row r="240" spans="2:120">
      <c r="B240" s="25"/>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c r="DL240" s="22"/>
      <c r="DM240" s="22"/>
      <c r="DN240" s="22"/>
      <c r="DO240" s="22"/>
      <c r="DP240" s="22"/>
    </row>
    <row r="241" spans="2:120">
      <c r="B241" s="25"/>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row>
    <row r="242" spans="2:120">
      <c r="B242" s="25"/>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row>
    <row r="243" spans="2:120">
      <c r="B243" s="25"/>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row>
    <row r="244" spans="2:120">
      <c r="B244" s="25"/>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row>
    <row r="245" spans="2:120">
      <c r="B245" s="25"/>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c r="DL245" s="22"/>
      <c r="DM245" s="22"/>
      <c r="DN245" s="22"/>
      <c r="DO245" s="22"/>
      <c r="DP245" s="22"/>
    </row>
    <row r="246" spans="2:120">
      <c r="B246" s="25"/>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row>
    <row r="247" spans="2:120">
      <c r="B247" s="25"/>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row>
    <row r="248" spans="2:120">
      <c r="B248" s="25"/>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row>
    <row r="249" spans="2:120">
      <c r="B249" s="25"/>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row>
    <row r="250" spans="2:120">
      <c r="B250" s="25"/>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row>
    <row r="251" spans="2:120">
      <c r="B251" s="25"/>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row>
    <row r="252" spans="2:120">
      <c r="B252" s="25"/>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row>
    <row r="253" spans="2:120">
      <c r="B253" s="25"/>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row>
    <row r="254" spans="2:120">
      <c r="B254" s="25"/>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row>
    <row r="255" spans="2:120">
      <c r="B255" s="25"/>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row>
    <row r="256" spans="2:120">
      <c r="B256" s="25"/>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row>
    <row r="257" spans="2:120">
      <c r="B257" s="25"/>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row>
    <row r="258" spans="2:120">
      <c r="B258" s="25"/>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row>
    <row r="259" spans="2:120">
      <c r="B259" s="25"/>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row>
    <row r="260" spans="2:120">
      <c r="B260" s="25"/>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row>
    <row r="261" spans="2:120">
      <c r="B261" s="25"/>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row>
    <row r="262" spans="2:120">
      <c r="B262" s="25"/>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row>
    <row r="263" spans="2:120">
      <c r="B263" s="25"/>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row>
    <row r="264" spans="2:120">
      <c r="B264" s="25"/>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row>
    <row r="265" spans="2:120">
      <c r="B265" s="25"/>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row>
    <row r="266" spans="2:120">
      <c r="B266" s="25"/>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row>
    <row r="267" spans="2:120">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row>
    <row r="268" spans="2:120">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row>
    <row r="269" spans="2:120">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row>
    <row r="270" spans="2:120">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row>
    <row r="271" spans="2:120">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row>
    <row r="272" spans="2:120">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row>
    <row r="273" spans="2:120">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row>
    <row r="274" spans="2:120">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row>
    <row r="275" spans="2:120">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row>
    <row r="276" spans="2:120">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row>
    <row r="277" spans="2:120">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row>
    <row r="278" spans="2:120">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row>
    <row r="279" spans="2:120">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row>
    <row r="280" spans="2:120">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row>
    <row r="281" spans="2:120">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c r="DL281" s="22"/>
      <c r="DM281" s="22"/>
      <c r="DN281" s="22"/>
      <c r="DO281" s="22"/>
      <c r="DP281" s="22"/>
    </row>
    <row r="282" spans="2:120">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row>
    <row r="283" spans="2:120">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c r="DL283" s="22"/>
      <c r="DM283" s="22"/>
      <c r="DN283" s="22"/>
      <c r="DO283" s="22"/>
      <c r="DP283" s="22"/>
    </row>
    <row r="284" spans="2:120">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c r="DM284" s="22"/>
      <c r="DN284" s="22"/>
      <c r="DO284" s="22"/>
      <c r="DP284" s="22"/>
    </row>
    <row r="285" spans="2:120">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c r="DL285" s="22"/>
      <c r="DM285" s="22"/>
      <c r="DN285" s="22"/>
      <c r="DO285" s="22"/>
      <c r="DP285" s="22"/>
    </row>
    <row r="286" spans="2:120">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row>
    <row r="287" spans="2:120">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row>
    <row r="288" spans="2:120">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c r="DL288" s="22"/>
      <c r="DM288" s="22"/>
      <c r="DN288" s="22"/>
      <c r="DO288" s="22"/>
      <c r="DP288" s="22"/>
    </row>
    <row r="289" spans="2:120">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c r="DM289" s="22"/>
      <c r="DN289" s="22"/>
      <c r="DO289" s="22"/>
      <c r="DP289" s="22"/>
    </row>
    <row r="290" spans="2:120">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c r="DL290" s="22"/>
      <c r="DM290" s="22"/>
      <c r="DN290" s="22"/>
      <c r="DO290" s="22"/>
      <c r="DP290" s="22"/>
    </row>
    <row r="291" spans="2:120">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c r="DL291" s="22"/>
      <c r="DM291" s="22"/>
      <c r="DN291" s="22"/>
      <c r="DO291" s="22"/>
      <c r="DP291" s="22"/>
    </row>
    <row r="292" spans="2:120">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row>
    <row r="293" spans="2:120">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c r="DM293" s="22"/>
      <c r="DN293" s="22"/>
      <c r="DO293" s="22"/>
      <c r="DP293" s="22"/>
    </row>
    <row r="294" spans="2:120">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c r="DL294" s="22"/>
      <c r="DM294" s="22"/>
      <c r="DN294" s="22"/>
      <c r="DO294" s="22"/>
      <c r="DP294" s="22"/>
    </row>
    <row r="295" spans="2:120">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c r="DL295" s="22"/>
      <c r="DM295" s="22"/>
      <c r="DN295" s="22"/>
      <c r="DO295" s="22"/>
      <c r="DP295" s="22"/>
    </row>
    <row r="296" spans="2:120">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row>
    <row r="297" spans="2:120">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c r="DL297" s="22"/>
      <c r="DM297" s="22"/>
      <c r="DN297" s="22"/>
      <c r="DO297" s="22"/>
      <c r="DP297" s="22"/>
    </row>
    <row r="298" spans="2:120">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c r="DL298" s="22"/>
      <c r="DM298" s="22"/>
      <c r="DN298" s="22"/>
      <c r="DO298" s="22"/>
      <c r="DP298" s="22"/>
    </row>
    <row r="299" spans="2:120">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c r="DL299" s="22"/>
      <c r="DM299" s="22"/>
      <c r="DN299" s="22"/>
      <c r="DO299" s="22"/>
      <c r="DP299" s="22"/>
    </row>
    <row r="300" spans="2:120">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c r="DL300" s="22"/>
      <c r="DM300" s="22"/>
      <c r="DN300" s="22"/>
      <c r="DO300" s="22"/>
      <c r="DP300" s="22"/>
    </row>
    <row r="301" spans="2:120">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c r="DL301" s="22"/>
      <c r="DM301" s="22"/>
      <c r="DN301" s="22"/>
      <c r="DO301" s="22"/>
      <c r="DP301" s="22"/>
    </row>
    <row r="302" spans="2:120">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c r="DL302" s="22"/>
      <c r="DM302" s="22"/>
      <c r="DN302" s="22"/>
      <c r="DO302" s="22"/>
      <c r="DP302" s="22"/>
    </row>
    <row r="303" spans="2:120">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c r="DL303" s="22"/>
      <c r="DM303" s="22"/>
      <c r="DN303" s="22"/>
      <c r="DO303" s="22"/>
      <c r="DP303" s="22"/>
    </row>
    <row r="304" spans="2:120">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row>
    <row r="305" spans="2:120">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c r="DM305" s="22"/>
      <c r="DN305" s="22"/>
      <c r="DO305" s="22"/>
      <c r="DP305" s="22"/>
    </row>
    <row r="306" spans="2:120">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row>
    <row r="307" spans="2:120">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c r="DM307" s="22"/>
      <c r="DN307" s="22"/>
      <c r="DO307" s="22"/>
      <c r="DP307" s="22"/>
    </row>
    <row r="308" spans="2:120">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c r="DL308" s="22"/>
      <c r="DM308" s="22"/>
      <c r="DN308" s="22"/>
      <c r="DO308" s="22"/>
      <c r="DP308" s="22"/>
    </row>
    <row r="309" spans="2:120">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c r="DL309" s="22"/>
      <c r="DM309" s="22"/>
      <c r="DN309" s="22"/>
      <c r="DO309" s="22"/>
      <c r="DP309" s="22"/>
    </row>
    <row r="310" spans="2:120">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c r="DL310" s="22"/>
      <c r="DM310" s="22"/>
      <c r="DN310" s="22"/>
      <c r="DO310" s="22"/>
      <c r="DP310" s="22"/>
    </row>
    <row r="311" spans="2:120">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row>
    <row r="312" spans="2:120">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c r="DL312" s="22"/>
      <c r="DM312" s="22"/>
      <c r="DN312" s="22"/>
      <c r="DO312" s="22"/>
      <c r="DP312" s="22"/>
    </row>
    <row r="313" spans="2:120">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row>
    <row r="314" spans="2:120">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c r="DN314" s="22"/>
      <c r="DO314" s="22"/>
      <c r="DP314" s="22"/>
    </row>
    <row r="315" spans="2:120">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c r="DL315" s="22"/>
      <c r="DM315" s="22"/>
      <c r="DN315" s="22"/>
      <c r="DO315" s="22"/>
      <c r="DP315" s="22"/>
    </row>
    <row r="316" spans="2:120">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row>
    <row r="317" spans="2:120">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c r="DL317" s="22"/>
      <c r="DM317" s="22"/>
      <c r="DN317" s="22"/>
      <c r="DO317" s="22"/>
      <c r="DP317" s="22"/>
    </row>
    <row r="318" spans="2:120">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row>
    <row r="319" spans="2:120">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c r="DL319" s="22"/>
      <c r="DM319" s="22"/>
      <c r="DN319" s="22"/>
      <c r="DO319" s="22"/>
      <c r="DP319" s="22"/>
    </row>
    <row r="320" spans="2:120">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c r="DL320" s="22"/>
      <c r="DM320" s="22"/>
      <c r="DN320" s="22"/>
      <c r="DO320" s="22"/>
      <c r="DP320" s="22"/>
    </row>
    <row r="321" spans="2:120">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c r="DL321" s="22"/>
      <c r="DM321" s="22"/>
      <c r="DN321" s="22"/>
      <c r="DO321" s="22"/>
      <c r="DP321" s="22"/>
    </row>
    <row r="322" spans="2:120">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c r="DL322" s="22"/>
      <c r="DM322" s="22"/>
      <c r="DN322" s="22"/>
      <c r="DO322" s="22"/>
      <c r="DP322" s="22"/>
    </row>
    <row r="323" spans="2:120">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c r="DL323" s="22"/>
      <c r="DM323" s="22"/>
      <c r="DN323" s="22"/>
      <c r="DO323" s="22"/>
      <c r="DP323" s="22"/>
    </row>
    <row r="324" spans="2:120">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c r="DL324" s="22"/>
      <c r="DM324" s="22"/>
      <c r="DN324" s="22"/>
      <c r="DO324" s="22"/>
      <c r="DP324" s="22"/>
    </row>
    <row r="325" spans="2:120">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c r="DL325" s="22"/>
      <c r="DM325" s="22"/>
      <c r="DN325" s="22"/>
      <c r="DO325" s="22"/>
      <c r="DP325" s="22"/>
    </row>
    <row r="326" spans="2:120">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row>
    <row r="327" spans="2:120">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c r="DL327" s="22"/>
      <c r="DM327" s="22"/>
      <c r="DN327" s="22"/>
      <c r="DO327" s="22"/>
      <c r="DP327" s="22"/>
    </row>
    <row r="328" spans="2:120">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c r="DL328" s="22"/>
      <c r="DM328" s="22"/>
      <c r="DN328" s="22"/>
      <c r="DO328" s="22"/>
      <c r="DP328" s="22"/>
    </row>
    <row r="329" spans="2:120">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c r="DL329" s="22"/>
      <c r="DM329" s="22"/>
      <c r="DN329" s="22"/>
      <c r="DO329" s="22"/>
      <c r="DP329" s="22"/>
    </row>
    <row r="330" spans="2:120">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c r="DL330" s="22"/>
      <c r="DM330" s="22"/>
      <c r="DN330" s="22"/>
      <c r="DO330" s="22"/>
      <c r="DP330" s="22"/>
    </row>
    <row r="331" spans="2:120">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c r="DL331" s="22"/>
      <c r="DM331" s="22"/>
      <c r="DN331" s="22"/>
      <c r="DO331" s="22"/>
      <c r="DP331" s="22"/>
    </row>
    <row r="332" spans="2:120">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c r="DL332" s="22"/>
      <c r="DM332" s="22"/>
      <c r="DN332" s="22"/>
      <c r="DO332" s="22"/>
      <c r="DP332" s="22"/>
    </row>
    <row r="333" spans="2:120">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c r="DL333" s="22"/>
      <c r="DM333" s="22"/>
      <c r="DN333" s="22"/>
      <c r="DO333" s="22"/>
      <c r="DP333" s="22"/>
    </row>
    <row r="334" spans="2:120">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c r="DL334" s="22"/>
      <c r="DM334" s="22"/>
      <c r="DN334" s="22"/>
      <c r="DO334" s="22"/>
      <c r="DP334" s="22"/>
    </row>
    <row r="335" spans="2:120">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c r="DL335" s="22"/>
      <c r="DM335" s="22"/>
      <c r="DN335" s="22"/>
      <c r="DO335" s="22"/>
      <c r="DP335" s="22"/>
    </row>
    <row r="336" spans="2:120">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c r="DL336" s="22"/>
      <c r="DM336" s="22"/>
      <c r="DN336" s="22"/>
      <c r="DO336" s="22"/>
      <c r="DP336" s="22"/>
    </row>
    <row r="337" spans="2:120">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c r="DL337" s="22"/>
      <c r="DM337" s="22"/>
      <c r="DN337" s="22"/>
      <c r="DO337" s="22"/>
      <c r="DP337" s="22"/>
    </row>
    <row r="338" spans="2:120">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c r="DL338" s="22"/>
      <c r="DM338" s="22"/>
      <c r="DN338" s="22"/>
      <c r="DO338" s="22"/>
      <c r="DP338" s="22"/>
    </row>
    <row r="339" spans="2:120">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c r="DL339" s="22"/>
      <c r="DM339" s="22"/>
      <c r="DN339" s="22"/>
      <c r="DO339" s="22"/>
      <c r="DP339" s="22"/>
    </row>
    <row r="340" spans="2:120">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c r="DL340" s="22"/>
      <c r="DM340" s="22"/>
      <c r="DN340" s="22"/>
      <c r="DO340" s="22"/>
      <c r="DP340" s="22"/>
    </row>
    <row r="341" spans="2:120">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22"/>
      <c r="DM341" s="22"/>
      <c r="DN341" s="22"/>
      <c r="DO341" s="22"/>
      <c r="DP341" s="22"/>
    </row>
    <row r="342" spans="2:120">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22"/>
      <c r="DM342" s="22"/>
      <c r="DN342" s="22"/>
      <c r="DO342" s="22"/>
      <c r="DP342" s="22"/>
    </row>
    <row r="343" spans="2:120">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22"/>
      <c r="DM343" s="22"/>
      <c r="DN343" s="22"/>
      <c r="DO343" s="22"/>
      <c r="DP343" s="22"/>
    </row>
    <row r="344" spans="2:120">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row>
    <row r="345" spans="2:120">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c r="DL345" s="22"/>
      <c r="DM345" s="22"/>
      <c r="DN345" s="22"/>
      <c r="DO345" s="22"/>
      <c r="DP345" s="22"/>
    </row>
    <row r="346" spans="2:120">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c r="DL346" s="22"/>
      <c r="DM346" s="22"/>
      <c r="DN346" s="22"/>
      <c r="DO346" s="22"/>
      <c r="DP346" s="22"/>
    </row>
    <row r="347" spans="2:120">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c r="DL347" s="22"/>
      <c r="DM347" s="22"/>
      <c r="DN347" s="22"/>
      <c r="DO347" s="22"/>
      <c r="DP347" s="22"/>
    </row>
    <row r="348" spans="2:120">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c r="DK348" s="22"/>
      <c r="DL348" s="22"/>
      <c r="DM348" s="22"/>
      <c r="DN348" s="22"/>
      <c r="DO348" s="22"/>
      <c r="DP348" s="22"/>
    </row>
    <row r="349" spans="2:120">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c r="DK349" s="22"/>
      <c r="DL349" s="22"/>
      <c r="DM349" s="22"/>
      <c r="DN349" s="22"/>
      <c r="DO349" s="22"/>
      <c r="DP349" s="22"/>
    </row>
    <row r="350" spans="2:120">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c r="DL350" s="22"/>
      <c r="DM350" s="22"/>
      <c r="DN350" s="22"/>
      <c r="DO350" s="22"/>
      <c r="DP350" s="22"/>
    </row>
    <row r="351" spans="2:120">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c r="DL351" s="22"/>
      <c r="DM351" s="22"/>
      <c r="DN351" s="22"/>
      <c r="DO351" s="22"/>
      <c r="DP351" s="22"/>
    </row>
    <row r="352" spans="2:120">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c r="DM352" s="22"/>
      <c r="DN352" s="22"/>
      <c r="DO352" s="22"/>
      <c r="DP352" s="22"/>
    </row>
    <row r="353" spans="2:120">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c r="DL353" s="22"/>
      <c r="DM353" s="22"/>
      <c r="DN353" s="22"/>
      <c r="DO353" s="22"/>
      <c r="DP353" s="22"/>
    </row>
    <row r="354" spans="2:120">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c r="DK354" s="22"/>
      <c r="DL354" s="22"/>
      <c r="DM354" s="22"/>
      <c r="DN354" s="22"/>
      <c r="DO354" s="22"/>
      <c r="DP354" s="22"/>
    </row>
    <row r="355" spans="2:120">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c r="DK355" s="22"/>
      <c r="DL355" s="22"/>
      <c r="DM355" s="22"/>
      <c r="DN355" s="22"/>
      <c r="DO355" s="22"/>
      <c r="DP355" s="22"/>
    </row>
    <row r="356" spans="2:120">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c r="DM356" s="22"/>
      <c r="DN356" s="22"/>
      <c r="DO356" s="22"/>
      <c r="DP356" s="22"/>
    </row>
    <row r="357" spans="2:120">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c r="DL357" s="22"/>
      <c r="DM357" s="22"/>
      <c r="DN357" s="22"/>
      <c r="DO357" s="22"/>
      <c r="DP357" s="22"/>
    </row>
    <row r="358" spans="2:120">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c r="DK358" s="22"/>
      <c r="DL358" s="22"/>
      <c r="DM358" s="22"/>
      <c r="DN358" s="22"/>
      <c r="DO358" s="22"/>
      <c r="DP358" s="22"/>
    </row>
    <row r="359" spans="2:120">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c r="DK359" s="22"/>
      <c r="DL359" s="22"/>
      <c r="DM359" s="22"/>
      <c r="DN359" s="22"/>
      <c r="DO359" s="22"/>
      <c r="DP359" s="22"/>
    </row>
    <row r="360" spans="2:120">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c r="DL360" s="22"/>
      <c r="DM360" s="22"/>
      <c r="DN360" s="22"/>
      <c r="DO360" s="22"/>
      <c r="DP360" s="22"/>
    </row>
    <row r="361" spans="2:120">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c r="DL361" s="22"/>
      <c r="DM361" s="22"/>
      <c r="DN361" s="22"/>
      <c r="DO361" s="22"/>
      <c r="DP361" s="22"/>
    </row>
    <row r="362" spans="2:120">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c r="DK362" s="22"/>
      <c r="DL362" s="22"/>
      <c r="DM362" s="22"/>
      <c r="DN362" s="22"/>
      <c r="DO362" s="22"/>
      <c r="DP362" s="22"/>
    </row>
    <row r="363" spans="2:120">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c r="DJ363" s="22"/>
      <c r="DK363" s="22"/>
      <c r="DL363" s="22"/>
      <c r="DM363" s="22"/>
      <c r="DN363" s="22"/>
      <c r="DO363" s="22"/>
      <c r="DP363" s="22"/>
    </row>
    <row r="364" spans="2:120">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c r="DK364" s="22"/>
      <c r="DL364" s="22"/>
      <c r="DM364" s="22"/>
      <c r="DN364" s="22"/>
      <c r="DO364" s="22"/>
      <c r="DP364" s="22"/>
    </row>
    <row r="365" spans="2:120">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c r="DK365" s="22"/>
      <c r="DL365" s="22"/>
      <c r="DM365" s="22"/>
      <c r="DN365" s="22"/>
      <c r="DO365" s="22"/>
      <c r="DP365" s="22"/>
    </row>
    <row r="366" spans="2:120">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c r="DL366" s="22"/>
      <c r="DM366" s="22"/>
      <c r="DN366" s="22"/>
      <c r="DO366" s="22"/>
      <c r="DP366" s="22"/>
    </row>
    <row r="367" spans="2:120">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c r="DK367" s="22"/>
      <c r="DL367" s="22"/>
      <c r="DM367" s="22"/>
      <c r="DN367" s="22"/>
      <c r="DO367" s="22"/>
      <c r="DP367" s="22"/>
    </row>
    <row r="368" spans="2:120">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c r="DL368" s="22"/>
      <c r="DM368" s="22"/>
      <c r="DN368" s="22"/>
      <c r="DO368" s="22"/>
      <c r="DP368" s="22"/>
    </row>
    <row r="369" spans="2:120">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c r="DL369" s="22"/>
      <c r="DM369" s="22"/>
      <c r="DN369" s="22"/>
      <c r="DO369" s="22"/>
      <c r="DP369" s="22"/>
    </row>
    <row r="370" spans="2:120">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c r="DK370" s="22"/>
      <c r="DL370" s="22"/>
      <c r="DM370" s="22"/>
      <c r="DN370" s="22"/>
      <c r="DO370" s="22"/>
      <c r="DP370" s="22"/>
    </row>
    <row r="371" spans="2:120">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c r="DK371" s="22"/>
      <c r="DL371" s="22"/>
      <c r="DM371" s="22"/>
      <c r="DN371" s="22"/>
      <c r="DO371" s="22"/>
      <c r="DP371" s="22"/>
    </row>
    <row r="372" spans="2:120">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c r="DK372" s="22"/>
      <c r="DL372" s="22"/>
      <c r="DM372" s="22"/>
      <c r="DN372" s="22"/>
      <c r="DO372" s="22"/>
      <c r="DP372" s="22"/>
    </row>
    <row r="373" spans="2:120">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c r="DK373" s="22"/>
      <c r="DL373" s="22"/>
      <c r="DM373" s="22"/>
      <c r="DN373" s="22"/>
      <c r="DO373" s="22"/>
      <c r="DP373" s="22"/>
    </row>
    <row r="374" spans="2:120">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c r="DK374" s="22"/>
      <c r="DL374" s="22"/>
      <c r="DM374" s="22"/>
      <c r="DN374" s="22"/>
      <c r="DO374" s="22"/>
      <c r="DP374" s="22"/>
    </row>
    <row r="375" spans="2:120">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c r="DK375" s="22"/>
      <c r="DL375" s="22"/>
      <c r="DM375" s="22"/>
      <c r="DN375" s="22"/>
      <c r="DO375" s="22"/>
      <c r="DP375" s="22"/>
    </row>
    <row r="376" spans="2:120">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c r="DK376" s="22"/>
      <c r="DL376" s="22"/>
      <c r="DM376" s="22"/>
      <c r="DN376" s="22"/>
      <c r="DO376" s="22"/>
      <c r="DP376" s="22"/>
    </row>
    <row r="377" spans="2:120">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c r="DK377" s="22"/>
      <c r="DL377" s="22"/>
      <c r="DM377" s="22"/>
      <c r="DN377" s="22"/>
      <c r="DO377" s="22"/>
      <c r="DP377" s="22"/>
    </row>
    <row r="378" spans="2:120">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c r="DK378" s="22"/>
      <c r="DL378" s="22"/>
      <c r="DM378" s="22"/>
      <c r="DN378" s="22"/>
      <c r="DO378" s="22"/>
      <c r="DP378" s="22"/>
    </row>
    <row r="379" spans="2:120">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c r="DK379" s="22"/>
      <c r="DL379" s="22"/>
      <c r="DM379" s="22"/>
      <c r="DN379" s="22"/>
      <c r="DO379" s="22"/>
      <c r="DP379" s="22"/>
    </row>
    <row r="380" spans="2:120">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c r="DK380" s="22"/>
      <c r="DL380" s="22"/>
      <c r="DM380" s="22"/>
      <c r="DN380" s="22"/>
      <c r="DO380" s="22"/>
      <c r="DP380" s="22"/>
    </row>
    <row r="381" spans="2:120">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c r="DK381" s="22"/>
      <c r="DL381" s="22"/>
      <c r="DM381" s="22"/>
      <c r="DN381" s="22"/>
      <c r="DO381" s="22"/>
      <c r="DP381" s="22"/>
    </row>
    <row r="382" spans="2:120">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c r="DK382" s="22"/>
      <c r="DL382" s="22"/>
      <c r="DM382" s="22"/>
      <c r="DN382" s="22"/>
      <c r="DO382" s="22"/>
      <c r="DP382" s="22"/>
    </row>
    <row r="383" spans="2:120">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c r="DK383" s="22"/>
      <c r="DL383" s="22"/>
      <c r="DM383" s="22"/>
      <c r="DN383" s="22"/>
      <c r="DO383" s="22"/>
      <c r="DP383" s="22"/>
    </row>
    <row r="384" spans="2:120">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c r="DK384" s="22"/>
      <c r="DL384" s="22"/>
      <c r="DM384" s="22"/>
      <c r="DN384" s="22"/>
      <c r="DO384" s="22"/>
      <c r="DP384" s="22"/>
    </row>
    <row r="385" spans="2:120">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c r="DK385" s="22"/>
      <c r="DL385" s="22"/>
      <c r="DM385" s="22"/>
      <c r="DN385" s="22"/>
      <c r="DO385" s="22"/>
      <c r="DP385" s="22"/>
    </row>
    <row r="386" spans="2:120">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row>
    <row r="387" spans="2:120">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c r="DK387" s="22"/>
      <c r="DL387" s="22"/>
      <c r="DM387" s="22"/>
      <c r="DN387" s="22"/>
      <c r="DO387" s="22"/>
      <c r="DP387" s="22"/>
    </row>
    <row r="388" spans="2:120">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c r="DK388" s="22"/>
      <c r="DL388" s="22"/>
      <c r="DM388" s="22"/>
      <c r="DN388" s="22"/>
      <c r="DO388" s="22"/>
      <c r="DP388" s="22"/>
    </row>
    <row r="389" spans="2:120">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c r="DK389" s="22"/>
      <c r="DL389" s="22"/>
      <c r="DM389" s="22"/>
      <c r="DN389" s="22"/>
      <c r="DO389" s="22"/>
      <c r="DP389" s="22"/>
    </row>
    <row r="390" spans="2:120">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c r="DK390" s="22"/>
      <c r="DL390" s="22"/>
      <c r="DM390" s="22"/>
      <c r="DN390" s="22"/>
      <c r="DO390" s="22"/>
      <c r="DP390" s="22"/>
    </row>
    <row r="391" spans="2:120">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c r="DK391" s="22"/>
      <c r="DL391" s="22"/>
      <c r="DM391" s="22"/>
      <c r="DN391" s="22"/>
      <c r="DO391" s="22"/>
      <c r="DP391" s="22"/>
    </row>
    <row r="392" spans="2:120">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c r="DL392" s="22"/>
      <c r="DM392" s="22"/>
      <c r="DN392" s="22"/>
      <c r="DO392" s="22"/>
      <c r="DP392" s="22"/>
    </row>
    <row r="393" spans="2:120">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c r="DK393" s="22"/>
      <c r="DL393" s="22"/>
      <c r="DM393" s="22"/>
      <c r="DN393" s="22"/>
      <c r="DO393" s="22"/>
      <c r="DP393" s="22"/>
    </row>
    <row r="394" spans="2:120">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c r="DK394" s="22"/>
      <c r="DL394" s="22"/>
      <c r="DM394" s="22"/>
      <c r="DN394" s="22"/>
      <c r="DO394" s="22"/>
      <c r="DP394" s="22"/>
    </row>
    <row r="395" spans="2:120">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c r="DK395" s="22"/>
      <c r="DL395" s="22"/>
      <c r="DM395" s="22"/>
      <c r="DN395" s="22"/>
      <c r="DO395" s="22"/>
      <c r="DP395" s="22"/>
    </row>
    <row r="396" spans="2:120">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row>
    <row r="397" spans="2:120">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c r="DK397" s="22"/>
      <c r="DL397" s="22"/>
      <c r="DM397" s="22"/>
      <c r="DN397" s="22"/>
      <c r="DO397" s="22"/>
      <c r="DP397" s="22"/>
    </row>
    <row r="398" spans="2:120">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c r="DK398" s="22"/>
      <c r="DL398" s="22"/>
      <c r="DM398" s="22"/>
      <c r="DN398" s="22"/>
      <c r="DO398" s="22"/>
      <c r="DP398" s="22"/>
    </row>
    <row r="399" spans="2:120">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c r="DK399" s="22"/>
      <c r="DL399" s="22"/>
      <c r="DM399" s="22"/>
      <c r="DN399" s="22"/>
      <c r="DO399" s="22"/>
      <c r="DP399" s="22"/>
    </row>
    <row r="400" spans="2:120">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c r="DK400" s="22"/>
      <c r="DL400" s="22"/>
      <c r="DM400" s="22"/>
      <c r="DN400" s="22"/>
      <c r="DO400" s="22"/>
      <c r="DP400" s="22"/>
    </row>
    <row r="401" spans="2:120">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c r="DK401" s="22"/>
      <c r="DL401" s="22"/>
      <c r="DM401" s="22"/>
      <c r="DN401" s="22"/>
      <c r="DO401" s="22"/>
      <c r="DP401" s="22"/>
    </row>
    <row r="402" spans="2:120">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c r="DK402" s="22"/>
      <c r="DL402" s="22"/>
      <c r="DM402" s="22"/>
      <c r="DN402" s="22"/>
      <c r="DO402" s="22"/>
      <c r="DP402" s="22"/>
    </row>
    <row r="403" spans="2:120">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row>
    <row r="404" spans="2:120">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c r="DK404" s="22"/>
      <c r="DL404" s="22"/>
      <c r="DM404" s="22"/>
      <c r="DN404" s="22"/>
      <c r="DO404" s="22"/>
      <c r="DP404" s="22"/>
    </row>
    <row r="405" spans="2:120">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c r="DK405" s="22"/>
      <c r="DL405" s="22"/>
      <c r="DM405" s="22"/>
      <c r="DN405" s="22"/>
      <c r="DO405" s="22"/>
      <c r="DP405" s="22"/>
    </row>
    <row r="406" spans="2:120">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c r="DK406" s="22"/>
      <c r="DL406" s="22"/>
      <c r="DM406" s="22"/>
      <c r="DN406" s="22"/>
      <c r="DO406" s="22"/>
      <c r="DP406" s="22"/>
    </row>
    <row r="407" spans="2:120">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c r="DK407" s="22"/>
      <c r="DL407" s="22"/>
      <c r="DM407" s="22"/>
      <c r="DN407" s="22"/>
      <c r="DO407" s="22"/>
      <c r="DP407" s="22"/>
    </row>
    <row r="408" spans="2:120">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c r="DK408" s="22"/>
      <c r="DL408" s="22"/>
      <c r="DM408" s="22"/>
      <c r="DN408" s="22"/>
      <c r="DO408" s="22"/>
      <c r="DP408" s="22"/>
    </row>
    <row r="409" spans="2:120">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c r="DK409" s="22"/>
      <c r="DL409" s="22"/>
      <c r="DM409" s="22"/>
      <c r="DN409" s="22"/>
      <c r="DO409" s="22"/>
      <c r="DP409" s="22"/>
    </row>
    <row r="410" spans="2:120">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c r="DK410" s="22"/>
      <c r="DL410" s="22"/>
      <c r="DM410" s="22"/>
      <c r="DN410" s="22"/>
      <c r="DO410" s="22"/>
      <c r="DP410" s="22"/>
    </row>
    <row r="411" spans="2:120">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c r="DK411" s="22"/>
      <c r="DL411" s="22"/>
      <c r="DM411" s="22"/>
      <c r="DN411" s="22"/>
      <c r="DO411" s="22"/>
      <c r="DP411" s="22"/>
    </row>
    <row r="412" spans="2:120">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c r="DK412" s="22"/>
      <c r="DL412" s="22"/>
      <c r="DM412" s="22"/>
      <c r="DN412" s="22"/>
      <c r="DO412" s="22"/>
      <c r="DP412" s="22"/>
    </row>
    <row r="413" spans="2:120">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c r="DK413" s="22"/>
      <c r="DL413" s="22"/>
      <c r="DM413" s="22"/>
      <c r="DN413" s="22"/>
      <c r="DO413" s="22"/>
      <c r="DP413" s="22"/>
    </row>
    <row r="414" spans="2:120">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c r="DK414" s="22"/>
      <c r="DL414" s="22"/>
      <c r="DM414" s="22"/>
      <c r="DN414" s="22"/>
      <c r="DO414" s="22"/>
      <c r="DP414" s="22"/>
    </row>
    <row r="415" spans="2:120">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c r="DK415" s="22"/>
      <c r="DL415" s="22"/>
      <c r="DM415" s="22"/>
      <c r="DN415" s="22"/>
      <c r="DO415" s="22"/>
      <c r="DP415" s="22"/>
    </row>
    <row r="416" spans="2:120">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c r="DL416" s="22"/>
      <c r="DM416" s="22"/>
      <c r="DN416" s="22"/>
      <c r="DO416" s="22"/>
      <c r="DP416" s="22"/>
    </row>
    <row r="417" spans="2:120">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c r="DK417" s="22"/>
      <c r="DL417" s="22"/>
      <c r="DM417" s="22"/>
      <c r="DN417" s="22"/>
      <c r="DO417" s="22"/>
      <c r="DP417" s="22"/>
    </row>
    <row r="418" spans="2:120">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c r="DL418" s="22"/>
      <c r="DM418" s="22"/>
      <c r="DN418" s="22"/>
      <c r="DO418" s="22"/>
      <c r="DP418" s="22"/>
    </row>
    <row r="419" spans="2:120">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c r="DL419" s="22"/>
      <c r="DM419" s="22"/>
      <c r="DN419" s="22"/>
      <c r="DO419" s="22"/>
      <c r="DP419" s="22"/>
    </row>
    <row r="420" spans="2:120">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c r="DL420" s="22"/>
      <c r="DM420" s="22"/>
      <c r="DN420" s="22"/>
      <c r="DO420" s="22"/>
      <c r="DP420" s="22"/>
    </row>
    <row r="421" spans="2:120">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c r="DL421" s="22"/>
      <c r="DM421" s="22"/>
      <c r="DN421" s="22"/>
      <c r="DO421" s="22"/>
      <c r="DP421" s="22"/>
    </row>
    <row r="422" spans="2:120">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c r="DL422" s="22"/>
      <c r="DM422" s="22"/>
      <c r="DN422" s="22"/>
      <c r="DO422" s="22"/>
      <c r="DP422" s="22"/>
    </row>
    <row r="423" spans="2:120">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c r="DL423" s="22"/>
      <c r="DM423" s="22"/>
      <c r="DN423" s="22"/>
      <c r="DO423" s="22"/>
      <c r="DP423" s="22"/>
    </row>
    <row r="424" spans="2:120">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c r="DL424" s="22"/>
      <c r="DM424" s="22"/>
      <c r="DN424" s="22"/>
      <c r="DO424" s="22"/>
      <c r="DP424" s="22"/>
    </row>
    <row r="425" spans="2:120">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c r="DL425" s="22"/>
      <c r="DM425" s="22"/>
      <c r="DN425" s="22"/>
      <c r="DO425" s="22"/>
      <c r="DP425" s="22"/>
    </row>
    <row r="426" spans="2:120">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c r="DL426" s="22"/>
      <c r="DM426" s="22"/>
      <c r="DN426" s="22"/>
      <c r="DO426" s="22"/>
      <c r="DP426" s="22"/>
    </row>
    <row r="427" spans="2:120">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c r="DL427" s="22"/>
      <c r="DM427" s="22"/>
      <c r="DN427" s="22"/>
      <c r="DO427" s="22"/>
      <c r="DP427" s="22"/>
    </row>
    <row r="428" spans="2:120">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c r="DL428" s="22"/>
      <c r="DM428" s="22"/>
      <c r="DN428" s="22"/>
      <c r="DO428" s="22"/>
      <c r="DP428" s="22"/>
    </row>
    <row r="429" spans="2:120">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c r="DL429" s="22"/>
      <c r="DM429" s="22"/>
      <c r="DN429" s="22"/>
      <c r="DO429" s="22"/>
      <c r="DP429" s="22"/>
    </row>
    <row r="430" spans="2:120">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c r="DL430" s="22"/>
      <c r="DM430" s="22"/>
      <c r="DN430" s="22"/>
      <c r="DO430" s="22"/>
      <c r="DP430" s="22"/>
    </row>
    <row r="431" spans="2:120">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c r="DL431" s="22"/>
      <c r="DM431" s="22"/>
      <c r="DN431" s="22"/>
      <c r="DO431" s="22"/>
      <c r="DP431" s="22"/>
    </row>
    <row r="432" spans="2:120">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c r="DL432" s="22"/>
      <c r="DM432" s="22"/>
      <c r="DN432" s="22"/>
      <c r="DO432" s="22"/>
      <c r="DP432" s="22"/>
    </row>
    <row r="433" spans="2:120">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c r="DL433" s="22"/>
      <c r="DM433" s="22"/>
      <c r="DN433" s="22"/>
      <c r="DO433" s="22"/>
      <c r="DP433" s="22"/>
    </row>
    <row r="434" spans="2:120">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c r="DL434" s="22"/>
      <c r="DM434" s="22"/>
      <c r="DN434" s="22"/>
      <c r="DO434" s="22"/>
      <c r="DP434" s="22"/>
    </row>
    <row r="435" spans="2:120">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c r="DL435" s="22"/>
      <c r="DM435" s="22"/>
      <c r="DN435" s="22"/>
      <c r="DO435" s="22"/>
      <c r="DP435" s="22"/>
    </row>
    <row r="436" spans="2:120">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c r="DL436" s="22"/>
      <c r="DM436" s="22"/>
      <c r="DN436" s="22"/>
      <c r="DO436" s="22"/>
      <c r="DP436" s="22"/>
    </row>
    <row r="437" spans="2:120">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c r="DL437" s="22"/>
      <c r="DM437" s="22"/>
      <c r="DN437" s="22"/>
      <c r="DO437" s="22"/>
      <c r="DP437" s="22"/>
    </row>
    <row r="438" spans="2:120">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c r="DL438" s="22"/>
      <c r="DM438" s="22"/>
      <c r="DN438" s="22"/>
      <c r="DO438" s="22"/>
      <c r="DP438" s="22"/>
    </row>
    <row r="439" spans="2:120">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c r="DL439" s="22"/>
      <c r="DM439" s="22"/>
      <c r="DN439" s="22"/>
      <c r="DO439" s="22"/>
      <c r="DP439" s="22"/>
    </row>
    <row r="440" spans="2:120">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c r="DL440" s="22"/>
      <c r="DM440" s="22"/>
      <c r="DN440" s="22"/>
      <c r="DO440" s="22"/>
      <c r="DP440" s="22"/>
    </row>
    <row r="441" spans="2:120">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c r="DL441" s="22"/>
      <c r="DM441" s="22"/>
      <c r="DN441" s="22"/>
      <c r="DO441" s="22"/>
      <c r="DP441" s="22"/>
    </row>
    <row r="442" spans="2:120">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c r="DL442" s="22"/>
      <c r="DM442" s="22"/>
      <c r="DN442" s="22"/>
      <c r="DO442" s="22"/>
      <c r="DP442" s="22"/>
    </row>
    <row r="443" spans="2:120">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c r="DL443" s="22"/>
      <c r="DM443" s="22"/>
      <c r="DN443" s="22"/>
      <c r="DO443" s="22"/>
      <c r="DP443" s="22"/>
    </row>
    <row r="444" spans="2:120">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c r="DL444" s="22"/>
      <c r="DM444" s="22"/>
      <c r="DN444" s="22"/>
      <c r="DO444" s="22"/>
      <c r="DP444" s="22"/>
    </row>
    <row r="445" spans="2:120">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c r="DL445" s="22"/>
      <c r="DM445" s="22"/>
      <c r="DN445" s="22"/>
      <c r="DO445" s="22"/>
      <c r="DP445" s="22"/>
    </row>
    <row r="446" spans="2:120">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c r="DL446" s="22"/>
      <c r="DM446" s="22"/>
      <c r="DN446" s="22"/>
      <c r="DO446" s="22"/>
      <c r="DP446" s="22"/>
    </row>
    <row r="447" spans="2:120">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c r="DL447" s="22"/>
      <c r="DM447" s="22"/>
      <c r="DN447" s="22"/>
      <c r="DO447" s="22"/>
      <c r="DP447" s="22"/>
    </row>
    <row r="448" spans="2:120">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c r="DL448" s="22"/>
      <c r="DM448" s="22"/>
      <c r="DN448" s="22"/>
      <c r="DO448" s="22"/>
      <c r="DP448" s="22"/>
    </row>
    <row r="449" spans="2:120">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c r="DL449" s="22"/>
      <c r="DM449" s="22"/>
      <c r="DN449" s="22"/>
      <c r="DO449" s="22"/>
      <c r="DP449" s="22"/>
    </row>
    <row r="450" spans="2:120">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c r="DL450" s="22"/>
      <c r="DM450" s="22"/>
      <c r="DN450" s="22"/>
      <c r="DO450" s="22"/>
      <c r="DP450" s="22"/>
    </row>
    <row r="451" spans="2:120">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c r="DL451" s="22"/>
      <c r="DM451" s="22"/>
      <c r="DN451" s="22"/>
      <c r="DO451" s="22"/>
      <c r="DP451" s="22"/>
    </row>
    <row r="452" spans="2:120">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c r="DL452" s="22"/>
      <c r="DM452" s="22"/>
      <c r="DN452" s="22"/>
      <c r="DO452" s="22"/>
      <c r="DP452" s="22"/>
    </row>
    <row r="453" spans="2:120">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c r="DL453" s="22"/>
      <c r="DM453" s="22"/>
      <c r="DN453" s="22"/>
      <c r="DO453" s="22"/>
      <c r="DP453" s="22"/>
    </row>
    <row r="454" spans="2:120">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c r="DL454" s="22"/>
      <c r="DM454" s="22"/>
      <c r="DN454" s="22"/>
      <c r="DO454" s="22"/>
      <c r="DP454" s="22"/>
    </row>
    <row r="455" spans="2:120">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c r="DL455" s="22"/>
      <c r="DM455" s="22"/>
      <c r="DN455" s="22"/>
      <c r="DO455" s="22"/>
      <c r="DP455" s="22"/>
    </row>
    <row r="456" spans="2:120">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c r="DL456" s="22"/>
      <c r="DM456" s="22"/>
      <c r="DN456" s="22"/>
      <c r="DO456" s="22"/>
      <c r="DP456" s="22"/>
    </row>
    <row r="457" spans="2:120">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c r="DL457" s="22"/>
      <c r="DM457" s="22"/>
      <c r="DN457" s="22"/>
      <c r="DO457" s="22"/>
      <c r="DP457" s="22"/>
    </row>
    <row r="458" spans="2:120">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c r="DL458" s="22"/>
      <c r="DM458" s="22"/>
      <c r="DN458" s="22"/>
      <c r="DO458" s="22"/>
      <c r="DP458" s="22"/>
    </row>
    <row r="459" spans="2:120">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c r="DL459" s="22"/>
      <c r="DM459" s="22"/>
      <c r="DN459" s="22"/>
      <c r="DO459" s="22"/>
      <c r="DP459" s="22"/>
    </row>
    <row r="460" spans="2:120">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c r="DL460" s="22"/>
      <c r="DM460" s="22"/>
      <c r="DN460" s="22"/>
      <c r="DO460" s="22"/>
      <c r="DP460" s="22"/>
    </row>
    <row r="461" spans="2:120">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c r="DL461" s="22"/>
      <c r="DM461" s="22"/>
      <c r="DN461" s="22"/>
      <c r="DO461" s="22"/>
      <c r="DP461" s="22"/>
    </row>
    <row r="462" spans="2:120">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c r="DL462" s="22"/>
      <c r="DM462" s="22"/>
      <c r="DN462" s="22"/>
      <c r="DO462" s="22"/>
      <c r="DP462" s="22"/>
    </row>
    <row r="463" spans="2:120">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c r="DL463" s="22"/>
      <c r="DM463" s="22"/>
      <c r="DN463" s="22"/>
      <c r="DO463" s="22"/>
      <c r="DP463" s="22"/>
    </row>
    <row r="464" spans="2:120">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c r="DL464" s="22"/>
      <c r="DM464" s="22"/>
      <c r="DN464" s="22"/>
      <c r="DO464" s="22"/>
      <c r="DP464" s="22"/>
    </row>
    <row r="465" spans="2:120">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c r="DL465" s="22"/>
      <c r="DM465" s="22"/>
      <c r="DN465" s="22"/>
      <c r="DO465" s="22"/>
      <c r="DP465" s="22"/>
    </row>
    <row r="466" spans="2:120">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c r="DL466" s="22"/>
      <c r="DM466" s="22"/>
      <c r="DN466" s="22"/>
      <c r="DO466" s="22"/>
      <c r="DP466" s="22"/>
    </row>
    <row r="467" spans="2:120">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c r="DL467" s="22"/>
      <c r="DM467" s="22"/>
      <c r="DN467" s="22"/>
      <c r="DO467" s="22"/>
      <c r="DP467" s="22"/>
    </row>
    <row r="468" spans="2:120">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c r="DL468" s="22"/>
      <c r="DM468" s="22"/>
      <c r="DN468" s="22"/>
      <c r="DO468" s="22"/>
      <c r="DP468" s="22"/>
    </row>
    <row r="469" spans="2:120">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c r="DL469" s="22"/>
      <c r="DM469" s="22"/>
      <c r="DN469" s="22"/>
      <c r="DO469" s="22"/>
      <c r="DP469" s="22"/>
    </row>
    <row r="470" spans="2:120">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c r="DL470" s="22"/>
      <c r="DM470" s="22"/>
      <c r="DN470" s="22"/>
      <c r="DO470" s="22"/>
      <c r="DP470" s="22"/>
    </row>
    <row r="471" spans="2:120">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c r="DL471" s="22"/>
      <c r="DM471" s="22"/>
      <c r="DN471" s="22"/>
      <c r="DO471" s="22"/>
      <c r="DP471" s="22"/>
    </row>
    <row r="472" spans="2:120">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c r="DL472" s="22"/>
      <c r="DM472" s="22"/>
      <c r="DN472" s="22"/>
      <c r="DO472" s="22"/>
      <c r="DP472" s="22"/>
    </row>
    <row r="473" spans="2:120">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c r="DL473" s="22"/>
      <c r="DM473" s="22"/>
      <c r="DN473" s="22"/>
      <c r="DO473" s="22"/>
      <c r="DP473" s="22"/>
    </row>
    <row r="474" spans="2:120">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c r="DL474" s="22"/>
      <c r="DM474" s="22"/>
      <c r="DN474" s="22"/>
      <c r="DO474" s="22"/>
      <c r="DP474" s="22"/>
    </row>
    <row r="475" spans="2:120">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c r="DL475" s="22"/>
      <c r="DM475" s="22"/>
      <c r="DN475" s="22"/>
      <c r="DO475" s="22"/>
      <c r="DP475" s="22"/>
    </row>
    <row r="476" spans="2:120">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c r="DL476" s="22"/>
      <c r="DM476" s="22"/>
      <c r="DN476" s="22"/>
      <c r="DO476" s="22"/>
      <c r="DP476" s="22"/>
    </row>
    <row r="477" spans="2:120">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c r="DL477" s="22"/>
      <c r="DM477" s="22"/>
      <c r="DN477" s="22"/>
      <c r="DO477" s="22"/>
      <c r="DP477" s="22"/>
    </row>
    <row r="478" spans="2:120">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c r="DL478" s="22"/>
      <c r="DM478" s="22"/>
      <c r="DN478" s="22"/>
      <c r="DO478" s="22"/>
      <c r="DP478" s="22"/>
    </row>
    <row r="479" spans="2:120">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c r="DL479" s="22"/>
      <c r="DM479" s="22"/>
      <c r="DN479" s="22"/>
      <c r="DO479" s="22"/>
      <c r="DP479" s="22"/>
    </row>
    <row r="480" spans="2:120">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c r="DL480" s="22"/>
      <c r="DM480" s="22"/>
      <c r="DN480" s="22"/>
      <c r="DO480" s="22"/>
      <c r="DP480" s="22"/>
    </row>
    <row r="481" spans="2:120">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c r="DL481" s="22"/>
      <c r="DM481" s="22"/>
      <c r="DN481" s="22"/>
      <c r="DO481" s="22"/>
      <c r="DP481" s="22"/>
    </row>
    <row r="482" spans="2:120">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c r="DL482" s="22"/>
      <c r="DM482" s="22"/>
      <c r="DN482" s="22"/>
      <c r="DO482" s="22"/>
      <c r="DP482" s="22"/>
    </row>
    <row r="483" spans="2:120">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c r="DL483" s="22"/>
      <c r="DM483" s="22"/>
      <c r="DN483" s="22"/>
      <c r="DO483" s="22"/>
      <c r="DP483" s="22"/>
    </row>
    <row r="484" spans="2:120">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c r="DL484" s="22"/>
      <c r="DM484" s="22"/>
      <c r="DN484" s="22"/>
      <c r="DO484" s="22"/>
      <c r="DP484" s="22"/>
    </row>
    <row r="485" spans="2:120">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c r="DL485" s="22"/>
      <c r="DM485" s="22"/>
      <c r="DN485" s="22"/>
      <c r="DO485" s="22"/>
      <c r="DP485" s="22"/>
    </row>
    <row r="486" spans="2:120">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row>
    <row r="487" spans="2:120">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c r="DL487" s="22"/>
      <c r="DM487" s="22"/>
      <c r="DN487" s="22"/>
      <c r="DO487" s="22"/>
      <c r="DP487" s="22"/>
    </row>
    <row r="488" spans="2:120">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c r="DL488" s="22"/>
      <c r="DM488" s="22"/>
      <c r="DN488" s="22"/>
      <c r="DO488" s="22"/>
      <c r="DP488" s="22"/>
    </row>
    <row r="489" spans="2:120">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c r="DL489" s="22"/>
      <c r="DM489" s="22"/>
      <c r="DN489" s="22"/>
      <c r="DO489" s="22"/>
      <c r="DP489" s="22"/>
    </row>
    <row r="490" spans="2:120">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c r="DL490" s="22"/>
      <c r="DM490" s="22"/>
      <c r="DN490" s="22"/>
      <c r="DO490" s="22"/>
      <c r="DP490" s="22"/>
    </row>
    <row r="491" spans="2:120">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c r="DL491" s="22"/>
      <c r="DM491" s="22"/>
      <c r="DN491" s="22"/>
      <c r="DO491" s="22"/>
      <c r="DP491" s="22"/>
    </row>
    <row r="492" spans="2:120">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c r="DL492" s="22"/>
      <c r="DM492" s="22"/>
      <c r="DN492" s="22"/>
      <c r="DO492" s="22"/>
      <c r="DP492" s="22"/>
    </row>
    <row r="493" spans="2:120">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c r="DL493" s="22"/>
      <c r="DM493" s="22"/>
      <c r="DN493" s="22"/>
      <c r="DO493" s="22"/>
      <c r="DP493" s="22"/>
    </row>
    <row r="494" spans="2:120">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c r="DL494" s="22"/>
      <c r="DM494" s="22"/>
      <c r="DN494" s="22"/>
      <c r="DO494" s="22"/>
      <c r="DP494" s="22"/>
    </row>
    <row r="495" spans="2:120">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c r="DL495" s="22"/>
      <c r="DM495" s="22"/>
      <c r="DN495" s="22"/>
      <c r="DO495" s="22"/>
      <c r="DP495" s="22"/>
    </row>
    <row r="496" spans="2:120">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c r="DL496" s="22"/>
      <c r="DM496" s="22"/>
      <c r="DN496" s="22"/>
      <c r="DO496" s="22"/>
      <c r="DP496" s="22"/>
    </row>
    <row r="497" spans="2:120">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c r="DL497" s="22"/>
      <c r="DM497" s="22"/>
      <c r="DN497" s="22"/>
      <c r="DO497" s="22"/>
      <c r="DP497" s="22"/>
    </row>
    <row r="498" spans="2:120">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c r="DL498" s="22"/>
      <c r="DM498" s="22"/>
      <c r="DN498" s="22"/>
      <c r="DO498" s="22"/>
      <c r="DP498" s="22"/>
    </row>
    <row r="499" spans="2:120">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c r="DL499" s="22"/>
      <c r="DM499" s="22"/>
      <c r="DN499" s="22"/>
      <c r="DO499" s="22"/>
      <c r="DP499" s="22"/>
    </row>
    <row r="500" spans="2:120">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c r="DL500" s="22"/>
      <c r="DM500" s="22"/>
      <c r="DN500" s="22"/>
      <c r="DO500" s="22"/>
      <c r="DP500" s="22"/>
    </row>
    <row r="501" spans="2:120">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c r="DL501" s="22"/>
      <c r="DM501" s="22"/>
      <c r="DN501" s="22"/>
      <c r="DO501" s="22"/>
      <c r="DP501" s="22"/>
    </row>
    <row r="502" spans="2:120">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c r="DL502" s="22"/>
      <c r="DM502" s="22"/>
      <c r="DN502" s="22"/>
      <c r="DO502" s="22"/>
      <c r="DP502" s="22"/>
    </row>
    <row r="503" spans="2:120">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c r="DL503" s="22"/>
      <c r="DM503" s="22"/>
      <c r="DN503" s="22"/>
      <c r="DO503" s="22"/>
      <c r="DP503" s="22"/>
    </row>
    <row r="504" spans="2:120">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c r="DL504" s="22"/>
      <c r="DM504" s="22"/>
      <c r="DN504" s="22"/>
      <c r="DO504" s="22"/>
      <c r="DP504" s="22"/>
    </row>
    <row r="505" spans="2:120">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c r="DL505" s="22"/>
      <c r="DM505" s="22"/>
      <c r="DN505" s="22"/>
      <c r="DO505" s="22"/>
      <c r="DP505" s="22"/>
    </row>
    <row r="506" spans="2:120">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row>
    <row r="507" spans="2:120">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c r="DL507" s="22"/>
      <c r="DM507" s="22"/>
      <c r="DN507" s="22"/>
      <c r="DO507" s="22"/>
      <c r="DP507" s="22"/>
    </row>
    <row r="508" spans="2:120">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c r="DL508" s="22"/>
      <c r="DM508" s="22"/>
      <c r="DN508" s="22"/>
      <c r="DO508" s="22"/>
      <c r="DP508" s="22"/>
    </row>
    <row r="509" spans="2:120">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c r="DL509" s="22"/>
      <c r="DM509" s="22"/>
      <c r="DN509" s="22"/>
      <c r="DO509" s="22"/>
      <c r="DP509" s="22"/>
    </row>
    <row r="510" spans="2:120">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c r="DL510" s="22"/>
      <c r="DM510" s="22"/>
      <c r="DN510" s="22"/>
      <c r="DO510" s="22"/>
      <c r="DP510" s="22"/>
    </row>
    <row r="511" spans="2:120">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c r="DL511" s="22"/>
      <c r="DM511" s="22"/>
      <c r="DN511" s="22"/>
      <c r="DO511" s="22"/>
      <c r="DP511" s="22"/>
    </row>
    <row r="512" spans="2:120">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c r="DL512" s="22"/>
      <c r="DM512" s="22"/>
      <c r="DN512" s="22"/>
      <c r="DO512" s="22"/>
      <c r="DP512" s="22"/>
    </row>
    <row r="513" spans="2:120">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c r="DL513" s="22"/>
      <c r="DM513" s="22"/>
      <c r="DN513" s="22"/>
      <c r="DO513" s="22"/>
      <c r="DP513" s="22"/>
    </row>
    <row r="514" spans="2:120">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c r="DL514" s="22"/>
      <c r="DM514" s="22"/>
      <c r="DN514" s="22"/>
      <c r="DO514" s="22"/>
      <c r="DP514" s="22"/>
    </row>
    <row r="515" spans="2:120">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c r="DL515" s="22"/>
      <c r="DM515" s="22"/>
      <c r="DN515" s="22"/>
      <c r="DO515" s="22"/>
      <c r="DP515" s="22"/>
    </row>
    <row r="516" spans="2:120">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row>
    <row r="517" spans="2:120">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c r="DL517" s="22"/>
      <c r="DM517" s="22"/>
      <c r="DN517" s="22"/>
      <c r="DO517" s="22"/>
      <c r="DP517" s="22"/>
    </row>
    <row r="518" spans="2:120">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c r="DL518" s="22"/>
      <c r="DM518" s="22"/>
      <c r="DN518" s="22"/>
      <c r="DO518" s="22"/>
      <c r="DP518" s="22"/>
    </row>
    <row r="519" spans="2:120">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c r="DL519" s="22"/>
      <c r="DM519" s="22"/>
      <c r="DN519" s="22"/>
      <c r="DO519" s="22"/>
      <c r="DP519" s="22"/>
    </row>
    <row r="520" spans="2:120">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c r="DL520" s="22"/>
      <c r="DM520" s="22"/>
      <c r="DN520" s="22"/>
      <c r="DO520" s="22"/>
      <c r="DP520" s="22"/>
    </row>
    <row r="521" spans="2:120">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c r="DL521" s="22"/>
      <c r="DM521" s="22"/>
      <c r="DN521" s="22"/>
      <c r="DO521" s="22"/>
      <c r="DP521" s="22"/>
    </row>
    <row r="522" spans="2:120">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c r="DL522" s="22"/>
      <c r="DM522" s="22"/>
      <c r="DN522" s="22"/>
      <c r="DO522" s="22"/>
      <c r="DP522" s="22"/>
    </row>
    <row r="523" spans="2:120">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c r="DL523" s="22"/>
      <c r="DM523" s="22"/>
      <c r="DN523" s="22"/>
      <c r="DO523" s="22"/>
      <c r="DP523" s="22"/>
    </row>
    <row r="524" spans="2:120">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c r="DL524" s="22"/>
      <c r="DM524" s="22"/>
      <c r="DN524" s="22"/>
      <c r="DO524" s="22"/>
      <c r="DP524" s="22"/>
    </row>
    <row r="525" spans="2:120">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c r="DL525" s="22"/>
      <c r="DM525" s="22"/>
      <c r="DN525" s="22"/>
      <c r="DO525" s="22"/>
      <c r="DP525" s="22"/>
    </row>
    <row r="526" spans="2:120">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row>
    <row r="527" spans="2:120">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c r="DL527" s="22"/>
      <c r="DM527" s="22"/>
      <c r="DN527" s="22"/>
      <c r="DO527" s="22"/>
      <c r="DP527" s="22"/>
    </row>
    <row r="528" spans="2:120">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c r="DL528" s="22"/>
      <c r="DM528" s="22"/>
      <c r="DN528" s="22"/>
      <c r="DO528" s="22"/>
      <c r="DP528" s="22"/>
    </row>
    <row r="529" spans="2:120">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c r="DL529" s="22"/>
      <c r="DM529" s="22"/>
      <c r="DN529" s="22"/>
      <c r="DO529" s="22"/>
      <c r="DP529" s="22"/>
    </row>
    <row r="530" spans="2:120">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c r="DL530" s="22"/>
      <c r="DM530" s="22"/>
      <c r="DN530" s="22"/>
      <c r="DO530" s="22"/>
      <c r="DP530" s="22"/>
    </row>
    <row r="531" spans="2:120">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c r="DL531" s="22"/>
      <c r="DM531" s="22"/>
      <c r="DN531" s="22"/>
      <c r="DO531" s="22"/>
      <c r="DP531" s="22"/>
    </row>
    <row r="532" spans="2:120">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c r="DL532" s="22"/>
      <c r="DM532" s="22"/>
      <c r="DN532" s="22"/>
      <c r="DO532" s="22"/>
      <c r="DP532" s="22"/>
    </row>
    <row r="533" spans="2:120">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c r="DL533" s="22"/>
      <c r="DM533" s="22"/>
      <c r="DN533" s="22"/>
      <c r="DO533" s="22"/>
      <c r="DP533" s="22"/>
    </row>
    <row r="534" spans="2:120">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c r="DL534" s="22"/>
      <c r="DM534" s="22"/>
      <c r="DN534" s="22"/>
      <c r="DO534" s="22"/>
      <c r="DP534" s="22"/>
    </row>
    <row r="535" spans="2:120">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c r="DL535" s="22"/>
      <c r="DM535" s="22"/>
      <c r="DN535" s="22"/>
      <c r="DO535" s="22"/>
      <c r="DP535" s="22"/>
    </row>
    <row r="536" spans="2:120">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row>
    <row r="537" spans="2:120">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c r="DL537" s="22"/>
      <c r="DM537" s="22"/>
      <c r="DN537" s="22"/>
      <c r="DO537" s="22"/>
      <c r="DP537" s="22"/>
    </row>
    <row r="538" spans="2:120">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c r="DL538" s="22"/>
      <c r="DM538" s="22"/>
      <c r="DN538" s="22"/>
      <c r="DO538" s="22"/>
      <c r="DP538" s="22"/>
    </row>
    <row r="539" spans="2:120">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c r="DL539" s="22"/>
      <c r="DM539" s="22"/>
      <c r="DN539" s="22"/>
      <c r="DO539" s="22"/>
      <c r="DP539" s="22"/>
    </row>
    <row r="540" spans="2:120">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c r="DL540" s="22"/>
      <c r="DM540" s="22"/>
      <c r="DN540" s="22"/>
      <c r="DO540" s="22"/>
      <c r="DP540" s="22"/>
    </row>
    <row r="541" spans="2:120">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c r="DL541" s="22"/>
      <c r="DM541" s="22"/>
      <c r="DN541" s="22"/>
      <c r="DO541" s="22"/>
      <c r="DP541" s="22"/>
    </row>
    <row r="542" spans="2:120">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c r="DL542" s="22"/>
      <c r="DM542" s="22"/>
      <c r="DN542" s="22"/>
      <c r="DO542" s="22"/>
      <c r="DP542" s="22"/>
    </row>
    <row r="543" spans="2:120">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c r="DL543" s="22"/>
      <c r="DM543" s="22"/>
      <c r="DN543" s="22"/>
      <c r="DO543" s="22"/>
      <c r="DP543" s="22"/>
    </row>
    <row r="544" spans="2:120">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c r="DL544" s="22"/>
      <c r="DM544" s="22"/>
      <c r="DN544" s="22"/>
      <c r="DO544" s="22"/>
      <c r="DP544" s="22"/>
    </row>
    <row r="545" spans="2:120">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c r="DL545" s="22"/>
      <c r="DM545" s="22"/>
      <c r="DN545" s="22"/>
      <c r="DO545" s="22"/>
      <c r="DP545" s="22"/>
    </row>
    <row r="546" spans="2:120">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row>
    <row r="547" spans="2:120">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c r="DL547" s="22"/>
      <c r="DM547" s="22"/>
      <c r="DN547" s="22"/>
      <c r="DO547" s="22"/>
      <c r="DP547" s="22"/>
    </row>
    <row r="548" spans="2:120">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c r="DL548" s="22"/>
      <c r="DM548" s="22"/>
      <c r="DN548" s="22"/>
      <c r="DO548" s="22"/>
      <c r="DP548" s="22"/>
    </row>
    <row r="549" spans="2:120">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c r="DL549" s="22"/>
      <c r="DM549" s="22"/>
      <c r="DN549" s="22"/>
      <c r="DO549" s="22"/>
      <c r="DP549" s="22"/>
    </row>
    <row r="550" spans="2:120">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c r="DL550" s="22"/>
      <c r="DM550" s="22"/>
      <c r="DN550" s="22"/>
      <c r="DO550" s="22"/>
      <c r="DP550" s="22"/>
    </row>
    <row r="551" spans="2:120">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c r="DL551" s="22"/>
      <c r="DM551" s="22"/>
      <c r="DN551" s="22"/>
      <c r="DO551" s="22"/>
      <c r="DP551" s="22"/>
    </row>
    <row r="552" spans="2:120">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c r="DL552" s="22"/>
      <c r="DM552" s="22"/>
      <c r="DN552" s="22"/>
      <c r="DO552" s="22"/>
      <c r="DP552" s="22"/>
    </row>
    <row r="553" spans="2:120">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c r="DL553" s="22"/>
      <c r="DM553" s="22"/>
      <c r="DN553" s="22"/>
      <c r="DO553" s="22"/>
      <c r="DP553" s="22"/>
    </row>
    <row r="554" spans="2:120">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c r="DL554" s="22"/>
      <c r="DM554" s="22"/>
      <c r="DN554" s="22"/>
      <c r="DO554" s="22"/>
      <c r="DP554" s="22"/>
    </row>
    <row r="555" spans="2:120">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c r="DL555" s="22"/>
      <c r="DM555" s="22"/>
      <c r="DN555" s="22"/>
      <c r="DO555" s="22"/>
      <c r="DP555" s="22"/>
    </row>
    <row r="556" spans="2:120">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row>
    <row r="557" spans="2:120">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c r="DL557" s="22"/>
      <c r="DM557" s="22"/>
      <c r="DN557" s="22"/>
      <c r="DO557" s="22"/>
      <c r="DP557" s="22"/>
    </row>
    <row r="558" spans="2:120">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c r="DL558" s="22"/>
      <c r="DM558" s="22"/>
      <c r="DN558" s="22"/>
      <c r="DO558" s="22"/>
      <c r="DP558" s="22"/>
    </row>
    <row r="559" spans="2:120">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c r="DL559" s="22"/>
      <c r="DM559" s="22"/>
      <c r="DN559" s="22"/>
      <c r="DO559" s="22"/>
      <c r="DP559" s="22"/>
    </row>
    <row r="560" spans="2:120">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c r="DL560" s="22"/>
      <c r="DM560" s="22"/>
      <c r="DN560" s="22"/>
      <c r="DO560" s="22"/>
      <c r="DP560" s="22"/>
    </row>
    <row r="561" spans="2:120">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c r="DL561" s="22"/>
      <c r="DM561" s="22"/>
      <c r="DN561" s="22"/>
      <c r="DO561" s="22"/>
      <c r="DP561" s="22"/>
    </row>
    <row r="562" spans="2:120">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c r="DL562" s="22"/>
      <c r="DM562" s="22"/>
      <c r="DN562" s="22"/>
      <c r="DO562" s="22"/>
      <c r="DP562" s="22"/>
    </row>
    <row r="563" spans="2:120">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c r="DL563" s="22"/>
      <c r="DM563" s="22"/>
      <c r="DN563" s="22"/>
      <c r="DO563" s="22"/>
      <c r="DP563" s="22"/>
    </row>
    <row r="564" spans="2:120">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c r="DL564" s="22"/>
      <c r="DM564" s="22"/>
      <c r="DN564" s="22"/>
      <c r="DO564" s="22"/>
      <c r="DP564" s="22"/>
    </row>
    <row r="565" spans="2:120">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c r="DL565" s="22"/>
      <c r="DM565" s="22"/>
      <c r="DN565" s="22"/>
      <c r="DO565" s="22"/>
      <c r="DP565" s="22"/>
    </row>
    <row r="566" spans="2:120">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c r="DN566" s="22"/>
      <c r="DO566" s="22"/>
      <c r="DP566" s="22"/>
    </row>
    <row r="567" spans="2:120">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c r="DL567" s="22"/>
      <c r="DM567" s="22"/>
      <c r="DN567" s="22"/>
      <c r="DO567" s="22"/>
      <c r="DP567" s="22"/>
    </row>
    <row r="568" spans="2:120">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c r="DL568" s="22"/>
      <c r="DM568" s="22"/>
      <c r="DN568" s="22"/>
      <c r="DO568" s="22"/>
      <c r="DP568" s="22"/>
    </row>
    <row r="569" spans="2:120">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c r="DL569" s="22"/>
      <c r="DM569" s="22"/>
      <c r="DN569" s="22"/>
      <c r="DO569" s="22"/>
      <c r="DP569" s="22"/>
    </row>
    <row r="570" spans="2:120">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c r="DL570" s="22"/>
      <c r="DM570" s="22"/>
      <c r="DN570" s="22"/>
      <c r="DO570" s="22"/>
      <c r="DP570" s="22"/>
    </row>
    <row r="571" spans="2:120">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c r="DL571" s="22"/>
      <c r="DM571" s="22"/>
      <c r="DN571" s="22"/>
      <c r="DO571" s="22"/>
      <c r="DP571" s="22"/>
    </row>
    <row r="572" spans="2:120">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c r="DL572" s="22"/>
      <c r="DM572" s="22"/>
      <c r="DN572" s="22"/>
      <c r="DO572" s="22"/>
      <c r="DP572" s="22"/>
    </row>
    <row r="573" spans="2:120">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c r="DL573" s="22"/>
      <c r="DM573" s="22"/>
      <c r="DN573" s="22"/>
      <c r="DO573" s="22"/>
      <c r="DP573" s="22"/>
    </row>
    <row r="574" spans="2:120">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c r="DL574" s="22"/>
      <c r="DM574" s="22"/>
      <c r="DN574" s="22"/>
      <c r="DO574" s="22"/>
      <c r="DP574" s="22"/>
    </row>
    <row r="575" spans="2:120">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c r="DL575" s="22"/>
      <c r="DM575" s="22"/>
      <c r="DN575" s="22"/>
      <c r="DO575" s="22"/>
      <c r="DP575" s="22"/>
    </row>
    <row r="576" spans="2:120">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row>
    <row r="577" spans="2:120">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c r="DL577" s="22"/>
      <c r="DM577" s="22"/>
      <c r="DN577" s="22"/>
      <c r="DO577" s="22"/>
      <c r="DP577" s="22"/>
    </row>
    <row r="578" spans="2:120">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c r="DL578" s="22"/>
      <c r="DM578" s="22"/>
      <c r="DN578" s="22"/>
      <c r="DO578" s="22"/>
      <c r="DP578" s="22"/>
    </row>
    <row r="579" spans="2:120">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c r="DL579" s="22"/>
      <c r="DM579" s="22"/>
      <c r="DN579" s="22"/>
      <c r="DO579" s="22"/>
      <c r="DP579" s="22"/>
    </row>
    <row r="580" spans="2:120">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c r="DL580" s="22"/>
      <c r="DM580" s="22"/>
      <c r="DN580" s="22"/>
      <c r="DO580" s="22"/>
      <c r="DP580" s="22"/>
    </row>
    <row r="581" spans="2:120">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c r="DL581" s="22"/>
      <c r="DM581" s="22"/>
      <c r="DN581" s="22"/>
      <c r="DO581" s="22"/>
      <c r="DP581" s="22"/>
    </row>
    <row r="582" spans="2:120">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c r="DL582" s="22"/>
      <c r="DM582" s="22"/>
      <c r="DN582" s="22"/>
      <c r="DO582" s="22"/>
      <c r="DP582" s="22"/>
    </row>
    <row r="583" spans="2:120">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c r="DL583" s="22"/>
      <c r="DM583" s="22"/>
      <c r="DN583" s="22"/>
      <c r="DO583" s="22"/>
      <c r="DP583" s="22"/>
    </row>
    <row r="584" spans="2:120">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c r="DL584" s="22"/>
      <c r="DM584" s="22"/>
      <c r="DN584" s="22"/>
      <c r="DO584" s="22"/>
      <c r="DP584" s="22"/>
    </row>
    <row r="585" spans="2:120">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c r="DL585" s="22"/>
      <c r="DM585" s="22"/>
      <c r="DN585" s="22"/>
      <c r="DO585" s="22"/>
      <c r="DP585" s="22"/>
    </row>
    <row r="586" spans="2:120">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c r="DL586" s="22"/>
      <c r="DM586" s="22"/>
      <c r="DN586" s="22"/>
      <c r="DO586" s="22"/>
      <c r="DP586" s="22"/>
    </row>
    <row r="587" spans="2:120">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c r="DL587" s="22"/>
      <c r="DM587" s="22"/>
      <c r="DN587" s="22"/>
      <c r="DO587" s="22"/>
      <c r="DP587" s="22"/>
    </row>
    <row r="588" spans="2:120">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c r="DL588" s="22"/>
      <c r="DM588" s="22"/>
      <c r="DN588" s="22"/>
      <c r="DO588" s="22"/>
      <c r="DP588" s="22"/>
    </row>
    <row r="589" spans="2:120">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c r="DL589" s="22"/>
      <c r="DM589" s="22"/>
      <c r="DN589" s="22"/>
      <c r="DO589" s="22"/>
      <c r="DP589" s="22"/>
    </row>
    <row r="590" spans="2:120">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c r="DL590" s="22"/>
      <c r="DM590" s="22"/>
      <c r="DN590" s="22"/>
      <c r="DO590" s="22"/>
      <c r="DP590" s="22"/>
    </row>
    <row r="591" spans="2:120">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c r="DL591" s="22"/>
      <c r="DM591" s="22"/>
      <c r="DN591" s="22"/>
      <c r="DO591" s="22"/>
      <c r="DP591" s="22"/>
    </row>
    <row r="592" spans="2:120">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c r="DL592" s="22"/>
      <c r="DM592" s="22"/>
      <c r="DN592" s="22"/>
      <c r="DO592" s="22"/>
      <c r="DP592" s="22"/>
    </row>
    <row r="593" spans="3:120">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c r="DL593" s="22"/>
      <c r="DM593" s="22"/>
      <c r="DN593" s="22"/>
      <c r="DO593" s="22"/>
      <c r="DP593" s="22"/>
    </row>
    <row r="594" spans="3:120">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c r="DL594" s="22"/>
      <c r="DM594" s="22"/>
      <c r="DN594" s="22"/>
      <c r="DO594" s="22"/>
      <c r="DP594" s="22"/>
    </row>
    <row r="595" spans="3:120">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c r="DL595" s="22"/>
      <c r="DM595" s="22"/>
      <c r="DN595" s="22"/>
      <c r="DO595" s="22"/>
      <c r="DP595" s="22"/>
    </row>
    <row r="596" spans="3:120">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c r="DL596" s="22"/>
      <c r="DM596" s="22"/>
      <c r="DN596" s="22"/>
      <c r="DO596" s="22"/>
      <c r="DP596" s="22"/>
    </row>
    <row r="597" spans="3:120">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c r="DL597" s="22"/>
      <c r="DM597" s="22"/>
      <c r="DN597" s="22"/>
      <c r="DO597" s="22"/>
      <c r="DP597" s="22"/>
    </row>
    <row r="598" spans="3:120">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c r="DL598" s="22"/>
      <c r="DM598" s="22"/>
      <c r="DN598" s="22"/>
      <c r="DO598" s="22"/>
      <c r="DP598" s="22"/>
    </row>
    <row r="599" spans="3:120">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c r="DL599" s="22"/>
      <c r="DM599" s="22"/>
      <c r="DN599" s="22"/>
      <c r="DO599" s="22"/>
      <c r="DP599" s="22"/>
    </row>
    <row r="600" spans="3:120">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c r="DL600" s="22"/>
      <c r="DM600" s="22"/>
      <c r="DN600" s="22"/>
      <c r="DO600" s="22"/>
      <c r="DP600" s="22"/>
    </row>
    <row r="601" spans="3:120">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c r="DL601" s="22"/>
      <c r="DM601" s="22"/>
      <c r="DN601" s="22"/>
      <c r="DO601" s="22"/>
      <c r="DP601" s="22"/>
    </row>
    <row r="602" spans="3:120">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c r="DL602" s="22"/>
      <c r="DM602" s="22"/>
      <c r="DN602" s="22"/>
      <c r="DO602" s="22"/>
      <c r="DP602" s="22"/>
    </row>
    <row r="603" spans="3:120">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c r="DL603" s="22"/>
      <c r="DM603" s="22"/>
      <c r="DN603" s="22"/>
      <c r="DO603" s="22"/>
      <c r="DP603" s="22"/>
    </row>
    <row r="604" spans="3:120">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c r="DL604" s="22"/>
      <c r="DM604" s="22"/>
      <c r="DN604" s="22"/>
      <c r="DO604" s="22"/>
      <c r="DP604" s="22"/>
    </row>
    <row r="605" spans="3:120">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c r="DL605" s="22"/>
      <c r="DM605" s="22"/>
      <c r="DN605" s="22"/>
      <c r="DO605" s="22"/>
      <c r="DP605" s="22"/>
    </row>
    <row r="606" spans="3:120">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row>
    <row r="607" spans="3:120">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c r="DL607" s="22"/>
      <c r="DM607" s="22"/>
      <c r="DN607" s="22"/>
      <c r="DO607" s="22"/>
      <c r="DP607" s="22"/>
    </row>
    <row r="608" spans="3:120">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c r="DL608" s="22"/>
      <c r="DM608" s="22"/>
      <c r="DN608" s="22"/>
      <c r="DO608" s="22"/>
      <c r="DP608" s="22"/>
    </row>
    <row r="609" spans="3:120">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c r="DL609" s="22"/>
      <c r="DM609" s="22"/>
      <c r="DN609" s="22"/>
      <c r="DO609" s="22"/>
      <c r="DP609" s="22"/>
    </row>
    <row r="610" spans="3:120">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c r="DL610" s="22"/>
      <c r="DM610" s="22"/>
      <c r="DN610" s="22"/>
      <c r="DO610" s="22"/>
      <c r="DP610" s="22"/>
    </row>
    <row r="611" spans="3:120">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c r="DL611" s="22"/>
      <c r="DM611" s="22"/>
      <c r="DN611" s="22"/>
      <c r="DO611" s="22"/>
      <c r="DP611" s="22"/>
    </row>
    <row r="612" spans="3:120">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c r="DL612" s="22"/>
      <c r="DM612" s="22"/>
      <c r="DN612" s="22"/>
      <c r="DO612" s="22"/>
      <c r="DP612" s="22"/>
    </row>
    <row r="613" spans="3:120">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c r="DL613" s="22"/>
      <c r="DM613" s="22"/>
      <c r="DN613" s="22"/>
      <c r="DO613" s="22"/>
      <c r="DP613" s="22"/>
    </row>
    <row r="614" spans="3:120">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c r="DL614" s="22"/>
      <c r="DM614" s="22"/>
      <c r="DN614" s="22"/>
      <c r="DO614" s="22"/>
      <c r="DP614" s="22"/>
    </row>
    <row r="615" spans="3:120">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c r="DL615" s="22"/>
      <c r="DM615" s="22"/>
      <c r="DN615" s="22"/>
      <c r="DO615" s="22"/>
      <c r="DP615" s="22"/>
    </row>
    <row r="616" spans="3:120">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c r="DL616" s="22"/>
      <c r="DM616" s="22"/>
      <c r="DN616" s="22"/>
      <c r="DO616" s="22"/>
      <c r="DP616" s="22"/>
    </row>
    <row r="617" spans="3:120">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c r="DE617" s="22"/>
      <c r="DF617" s="22"/>
      <c r="DG617" s="22"/>
      <c r="DH617" s="22"/>
      <c r="DI617" s="22"/>
      <c r="DJ617" s="22"/>
      <c r="DK617" s="22"/>
      <c r="DL617" s="22"/>
      <c r="DM617" s="22"/>
      <c r="DN617" s="22"/>
      <c r="DO617" s="22"/>
      <c r="DP617" s="22"/>
    </row>
    <row r="618" spans="3:120">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c r="DE618" s="22"/>
      <c r="DF618" s="22"/>
      <c r="DG618" s="22"/>
      <c r="DH618" s="22"/>
      <c r="DI618" s="22"/>
      <c r="DJ618" s="22"/>
      <c r="DK618" s="22"/>
      <c r="DL618" s="22"/>
      <c r="DM618" s="22"/>
      <c r="DN618" s="22"/>
      <c r="DO618" s="22"/>
      <c r="DP618" s="22"/>
    </row>
    <row r="619" spans="3:120">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c r="DE619" s="22"/>
      <c r="DF619" s="22"/>
      <c r="DG619" s="22"/>
      <c r="DH619" s="22"/>
      <c r="DI619" s="22"/>
      <c r="DJ619" s="22"/>
      <c r="DK619" s="22"/>
      <c r="DL619" s="22"/>
      <c r="DM619" s="22"/>
      <c r="DN619" s="22"/>
      <c r="DO619" s="22"/>
      <c r="DP619" s="22"/>
    </row>
    <row r="620" spans="3:120">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c r="DK620" s="22"/>
      <c r="DL620" s="22"/>
      <c r="DM620" s="22"/>
      <c r="DN620" s="22"/>
      <c r="DO620" s="22"/>
      <c r="DP620" s="22"/>
    </row>
    <row r="621" spans="3:120">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c r="DK621" s="22"/>
      <c r="DL621" s="22"/>
      <c r="DM621" s="22"/>
      <c r="DN621" s="22"/>
      <c r="DO621" s="22"/>
      <c r="DP621" s="22"/>
    </row>
    <row r="622" spans="3:120">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c r="DE622" s="22"/>
      <c r="DF622" s="22"/>
      <c r="DG622" s="22"/>
      <c r="DH622" s="22"/>
      <c r="DI622" s="22"/>
      <c r="DJ622" s="22"/>
      <c r="DK622" s="22"/>
      <c r="DL622" s="22"/>
      <c r="DM622" s="22"/>
      <c r="DN622" s="22"/>
      <c r="DO622" s="22"/>
      <c r="DP622" s="22"/>
    </row>
    <row r="623" spans="3:120">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c r="DK623" s="22"/>
      <c r="DL623" s="22"/>
      <c r="DM623" s="22"/>
      <c r="DN623" s="22"/>
      <c r="DO623" s="22"/>
      <c r="DP623" s="22"/>
    </row>
    <row r="624" spans="3:120">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c r="DK624" s="22"/>
      <c r="DL624" s="22"/>
      <c r="DM624" s="22"/>
      <c r="DN624" s="22"/>
      <c r="DO624" s="22"/>
      <c r="DP624" s="22"/>
    </row>
    <row r="625" spans="3:120">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c r="DK625" s="22"/>
      <c r="DL625" s="22"/>
      <c r="DM625" s="22"/>
      <c r="DN625" s="22"/>
      <c r="DO625" s="22"/>
      <c r="DP625" s="22"/>
    </row>
    <row r="626" spans="3:120">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c r="DL626" s="22"/>
      <c r="DM626" s="22"/>
      <c r="DN626" s="22"/>
      <c r="DO626" s="22"/>
      <c r="DP626" s="22"/>
    </row>
    <row r="627" spans="3:120">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c r="DL627" s="22"/>
      <c r="DM627" s="22"/>
      <c r="DN627" s="22"/>
      <c r="DO627" s="22"/>
      <c r="DP627" s="22"/>
    </row>
    <row r="628" spans="3:120">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row>
    <row r="629" spans="3:120">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c r="DE629" s="22"/>
      <c r="DF629" s="22"/>
      <c r="DG629" s="22"/>
      <c r="DH629" s="22"/>
      <c r="DI629" s="22"/>
      <c r="DJ629" s="22"/>
      <c r="DK629" s="22"/>
      <c r="DL629" s="22"/>
      <c r="DM629" s="22"/>
      <c r="DN629" s="22"/>
      <c r="DO629" s="22"/>
      <c r="DP629" s="22"/>
    </row>
    <row r="630" spans="3:120">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c r="DK630" s="22"/>
      <c r="DL630" s="22"/>
      <c r="DM630" s="22"/>
      <c r="DN630" s="22"/>
      <c r="DO630" s="22"/>
      <c r="DP630" s="22"/>
    </row>
    <row r="631" spans="3:120">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c r="DK631" s="22"/>
      <c r="DL631" s="22"/>
      <c r="DM631" s="22"/>
      <c r="DN631" s="22"/>
      <c r="DO631" s="22"/>
      <c r="DP631" s="22"/>
    </row>
    <row r="632" spans="3:120">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c r="DE632" s="22"/>
      <c r="DF632" s="22"/>
      <c r="DG632" s="22"/>
      <c r="DH632" s="22"/>
      <c r="DI632" s="22"/>
      <c r="DJ632" s="22"/>
      <c r="DK632" s="22"/>
      <c r="DL632" s="22"/>
      <c r="DM632" s="22"/>
      <c r="DN632" s="22"/>
      <c r="DO632" s="22"/>
      <c r="DP632" s="22"/>
    </row>
    <row r="633" spans="3:120">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c r="DE633" s="22"/>
      <c r="DF633" s="22"/>
      <c r="DG633" s="22"/>
      <c r="DH633" s="22"/>
      <c r="DI633" s="22"/>
      <c r="DJ633" s="22"/>
      <c r="DK633" s="22"/>
      <c r="DL633" s="22"/>
      <c r="DM633" s="22"/>
      <c r="DN633" s="22"/>
      <c r="DO633" s="22"/>
      <c r="DP633" s="22"/>
    </row>
    <row r="634" spans="3:120">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c r="DE634" s="22"/>
      <c r="DF634" s="22"/>
      <c r="DG634" s="22"/>
      <c r="DH634" s="22"/>
      <c r="DI634" s="22"/>
      <c r="DJ634" s="22"/>
      <c r="DK634" s="22"/>
      <c r="DL634" s="22"/>
      <c r="DM634" s="22"/>
      <c r="DN634" s="22"/>
      <c r="DO634" s="22"/>
      <c r="DP634" s="22"/>
    </row>
    <row r="635" spans="3:120">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c r="DE635" s="22"/>
      <c r="DF635" s="22"/>
      <c r="DG635" s="22"/>
      <c r="DH635" s="22"/>
      <c r="DI635" s="22"/>
      <c r="DJ635" s="22"/>
      <c r="DK635" s="22"/>
      <c r="DL635" s="22"/>
      <c r="DM635" s="22"/>
      <c r="DN635" s="22"/>
      <c r="DO635" s="22"/>
      <c r="DP635" s="22"/>
    </row>
    <row r="636" spans="3:120">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c r="DL636" s="22"/>
      <c r="DM636" s="22"/>
      <c r="DN636" s="22"/>
      <c r="DO636" s="22"/>
      <c r="DP636" s="22"/>
    </row>
    <row r="637" spans="3:120">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c r="CN637" s="22"/>
      <c r="CO637" s="22"/>
      <c r="CP637" s="22"/>
      <c r="CQ637" s="22"/>
      <c r="CR637" s="22"/>
      <c r="CS637" s="22"/>
      <c r="CT637" s="22"/>
      <c r="CU637" s="22"/>
      <c r="CV637" s="22"/>
      <c r="CW637" s="22"/>
      <c r="CX637" s="22"/>
      <c r="CY637" s="22"/>
      <c r="CZ637" s="22"/>
      <c r="DA637" s="22"/>
      <c r="DB637" s="22"/>
      <c r="DC637" s="22"/>
      <c r="DD637" s="22"/>
      <c r="DE637" s="22"/>
      <c r="DF637" s="22"/>
      <c r="DG637" s="22"/>
      <c r="DH637" s="22"/>
      <c r="DI637" s="22"/>
      <c r="DJ637" s="22"/>
      <c r="DK637" s="22"/>
      <c r="DL637" s="22"/>
      <c r="DM637" s="22"/>
      <c r="DN637" s="22"/>
      <c r="DO637" s="22"/>
      <c r="DP637" s="22"/>
    </row>
    <row r="638" spans="3:120">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c r="CN638" s="22"/>
      <c r="CO638" s="22"/>
      <c r="CP638" s="22"/>
      <c r="CQ638" s="22"/>
      <c r="CR638" s="22"/>
      <c r="CS638" s="22"/>
      <c r="CT638" s="22"/>
      <c r="CU638" s="22"/>
      <c r="CV638" s="22"/>
      <c r="CW638" s="22"/>
      <c r="CX638" s="22"/>
      <c r="CY638" s="22"/>
      <c r="CZ638" s="22"/>
      <c r="DA638" s="22"/>
      <c r="DB638" s="22"/>
      <c r="DC638" s="22"/>
      <c r="DD638" s="22"/>
      <c r="DE638" s="22"/>
      <c r="DF638" s="22"/>
      <c r="DG638" s="22"/>
      <c r="DH638" s="22"/>
      <c r="DI638" s="22"/>
      <c r="DJ638" s="22"/>
      <c r="DK638" s="22"/>
      <c r="DL638" s="22"/>
      <c r="DM638" s="22"/>
      <c r="DN638" s="22"/>
      <c r="DO638" s="22"/>
      <c r="DP638" s="22"/>
    </row>
    <row r="639" spans="3:120">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c r="CN639" s="22"/>
      <c r="CO639" s="22"/>
      <c r="CP639" s="22"/>
      <c r="CQ639" s="22"/>
      <c r="CR639" s="22"/>
      <c r="CS639" s="22"/>
      <c r="CT639" s="22"/>
      <c r="CU639" s="22"/>
      <c r="CV639" s="22"/>
      <c r="CW639" s="22"/>
      <c r="CX639" s="22"/>
      <c r="CY639" s="22"/>
      <c r="CZ639" s="22"/>
      <c r="DA639" s="22"/>
      <c r="DB639" s="22"/>
      <c r="DC639" s="22"/>
      <c r="DD639" s="22"/>
      <c r="DE639" s="22"/>
      <c r="DF639" s="22"/>
      <c r="DG639" s="22"/>
      <c r="DH639" s="22"/>
      <c r="DI639" s="22"/>
      <c r="DJ639" s="22"/>
      <c r="DK639" s="22"/>
      <c r="DL639" s="22"/>
      <c r="DM639" s="22"/>
      <c r="DN639" s="22"/>
      <c r="DO639" s="22"/>
      <c r="DP639" s="22"/>
    </row>
    <row r="640" spans="3:120">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22"/>
      <c r="DC640" s="22"/>
      <c r="DD640" s="22"/>
      <c r="DE640" s="22"/>
      <c r="DF640" s="22"/>
      <c r="DG640" s="22"/>
      <c r="DH640" s="22"/>
      <c r="DI640" s="22"/>
      <c r="DJ640" s="22"/>
      <c r="DK640" s="22"/>
      <c r="DL640" s="22"/>
      <c r="DM640" s="22"/>
      <c r="DN640" s="22"/>
      <c r="DO640" s="22"/>
      <c r="DP640" s="22"/>
    </row>
    <row r="641" spans="3:120">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22"/>
      <c r="DC641" s="22"/>
      <c r="DD641" s="22"/>
      <c r="DE641" s="22"/>
      <c r="DF641" s="22"/>
      <c r="DG641" s="22"/>
      <c r="DH641" s="22"/>
      <c r="DI641" s="22"/>
      <c r="DJ641" s="22"/>
      <c r="DK641" s="22"/>
      <c r="DL641" s="22"/>
      <c r="DM641" s="22"/>
      <c r="DN641" s="22"/>
      <c r="DO641" s="22"/>
      <c r="DP641" s="22"/>
    </row>
    <row r="642" spans="3:120">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22"/>
      <c r="DC642" s="22"/>
      <c r="DD642" s="22"/>
      <c r="DE642" s="22"/>
      <c r="DF642" s="22"/>
      <c r="DG642" s="22"/>
      <c r="DH642" s="22"/>
      <c r="DI642" s="22"/>
      <c r="DJ642" s="22"/>
      <c r="DK642" s="22"/>
      <c r="DL642" s="22"/>
      <c r="DM642" s="22"/>
      <c r="DN642" s="22"/>
      <c r="DO642" s="22"/>
      <c r="DP642" s="22"/>
    </row>
    <row r="643" spans="3:120">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c r="DE643" s="22"/>
      <c r="DF643" s="22"/>
      <c r="DG643" s="22"/>
      <c r="DH643" s="22"/>
      <c r="DI643" s="22"/>
      <c r="DJ643" s="22"/>
      <c r="DK643" s="22"/>
      <c r="DL643" s="22"/>
      <c r="DM643" s="22"/>
      <c r="DN643" s="22"/>
      <c r="DO643" s="22"/>
      <c r="DP643" s="22"/>
    </row>
    <row r="644" spans="3:120">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c r="DK644" s="22"/>
      <c r="DL644" s="22"/>
      <c r="DM644" s="22"/>
      <c r="DN644" s="22"/>
      <c r="DO644" s="22"/>
      <c r="DP644" s="22"/>
    </row>
    <row r="645" spans="3:120">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c r="DK645" s="22"/>
      <c r="DL645" s="22"/>
      <c r="DM645" s="22"/>
      <c r="DN645" s="22"/>
      <c r="DO645" s="22"/>
      <c r="DP645" s="22"/>
    </row>
    <row r="646" spans="3:120">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c r="DL646" s="22"/>
      <c r="DM646" s="22"/>
      <c r="DN646" s="22"/>
      <c r="DO646" s="22"/>
      <c r="DP646" s="22"/>
    </row>
    <row r="647" spans="3:120">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c r="DK647" s="22"/>
      <c r="DL647" s="22"/>
      <c r="DM647" s="22"/>
      <c r="DN647" s="22"/>
      <c r="DO647" s="22"/>
      <c r="DP647" s="22"/>
    </row>
    <row r="648" spans="3:120">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c r="DK648" s="22"/>
      <c r="DL648" s="22"/>
      <c r="DM648" s="22"/>
      <c r="DN648" s="22"/>
      <c r="DO648" s="22"/>
      <c r="DP648" s="22"/>
    </row>
    <row r="649" spans="3:120">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c r="DK649" s="22"/>
      <c r="DL649" s="22"/>
      <c r="DM649" s="22"/>
      <c r="DN649" s="22"/>
      <c r="DO649" s="22"/>
      <c r="DP649" s="22"/>
    </row>
    <row r="650" spans="3:120">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c r="DK650" s="22"/>
      <c r="DL650" s="22"/>
      <c r="DM650" s="22"/>
      <c r="DN650" s="22"/>
      <c r="DO650" s="22"/>
      <c r="DP650" s="22"/>
    </row>
    <row r="651" spans="3:120">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c r="DE651" s="22"/>
      <c r="DF651" s="22"/>
      <c r="DG651" s="22"/>
      <c r="DH651" s="22"/>
      <c r="DI651" s="22"/>
      <c r="DJ651" s="22"/>
      <c r="DK651" s="22"/>
      <c r="DL651" s="22"/>
      <c r="DM651" s="22"/>
      <c r="DN651" s="22"/>
      <c r="DO651" s="22"/>
      <c r="DP651" s="22"/>
    </row>
    <row r="652" spans="3:120">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c r="DE652" s="22"/>
      <c r="DF652" s="22"/>
      <c r="DG652" s="22"/>
      <c r="DH652" s="22"/>
      <c r="DI652" s="22"/>
      <c r="DJ652" s="22"/>
      <c r="DK652" s="22"/>
      <c r="DL652" s="22"/>
      <c r="DM652" s="22"/>
      <c r="DN652" s="22"/>
      <c r="DO652" s="22"/>
      <c r="DP652" s="22"/>
    </row>
    <row r="653" spans="3:120">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22"/>
      <c r="DC653" s="22"/>
      <c r="DD653" s="22"/>
      <c r="DE653" s="22"/>
      <c r="DF653" s="22"/>
      <c r="DG653" s="22"/>
      <c r="DH653" s="22"/>
      <c r="DI653" s="22"/>
      <c r="DJ653" s="22"/>
      <c r="DK653" s="22"/>
      <c r="DL653" s="22"/>
      <c r="DM653" s="22"/>
      <c r="DN653" s="22"/>
      <c r="DO653" s="22"/>
      <c r="DP653" s="22"/>
    </row>
    <row r="654" spans="3:120">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c r="DK654" s="22"/>
      <c r="DL654" s="22"/>
      <c r="DM654" s="22"/>
      <c r="DN654" s="22"/>
      <c r="DO654" s="22"/>
      <c r="DP654" s="22"/>
    </row>
    <row r="655" spans="3:120">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22"/>
      <c r="DC655" s="22"/>
      <c r="DD655" s="22"/>
      <c r="DE655" s="22"/>
      <c r="DF655" s="22"/>
      <c r="DG655" s="22"/>
      <c r="DH655" s="22"/>
      <c r="DI655" s="22"/>
      <c r="DJ655" s="22"/>
      <c r="DK655" s="22"/>
      <c r="DL655" s="22"/>
      <c r="DM655" s="22"/>
      <c r="DN655" s="22"/>
      <c r="DO655" s="22"/>
      <c r="DP655" s="22"/>
    </row>
    <row r="656" spans="3:120">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c r="DL656" s="22"/>
      <c r="DM656" s="22"/>
      <c r="DN656" s="22"/>
      <c r="DO656" s="22"/>
      <c r="DP656" s="22"/>
    </row>
    <row r="657" spans="3:120">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c r="CM657" s="22"/>
      <c r="CN657" s="22"/>
      <c r="CO657" s="22"/>
      <c r="CP657" s="22"/>
      <c r="CQ657" s="22"/>
      <c r="CR657" s="22"/>
      <c r="CS657" s="22"/>
      <c r="CT657" s="22"/>
      <c r="CU657" s="22"/>
      <c r="CV657" s="22"/>
      <c r="CW657" s="22"/>
      <c r="CX657" s="22"/>
      <c r="CY657" s="22"/>
      <c r="CZ657" s="22"/>
      <c r="DA657" s="22"/>
      <c r="DB657" s="22"/>
      <c r="DC657" s="22"/>
      <c r="DD657" s="22"/>
      <c r="DE657" s="22"/>
      <c r="DF657" s="22"/>
      <c r="DG657" s="22"/>
      <c r="DH657" s="22"/>
      <c r="DI657" s="22"/>
      <c r="DJ657" s="22"/>
      <c r="DK657" s="22"/>
      <c r="DL657" s="22"/>
      <c r="DM657" s="22"/>
      <c r="DN657" s="22"/>
      <c r="DO657" s="22"/>
      <c r="DP657" s="22"/>
    </row>
    <row r="658" spans="3:120">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c r="CM658" s="22"/>
      <c r="CN658" s="22"/>
      <c r="CO658" s="22"/>
      <c r="CP658" s="22"/>
      <c r="CQ658" s="22"/>
      <c r="CR658" s="22"/>
      <c r="CS658" s="22"/>
      <c r="CT658" s="22"/>
      <c r="CU658" s="22"/>
      <c r="CV658" s="22"/>
      <c r="CW658" s="22"/>
      <c r="CX658" s="22"/>
      <c r="CY658" s="22"/>
      <c r="CZ658" s="22"/>
      <c r="DA658" s="22"/>
      <c r="DB658" s="22"/>
      <c r="DC658" s="22"/>
      <c r="DD658" s="22"/>
      <c r="DE658" s="22"/>
      <c r="DF658" s="22"/>
      <c r="DG658" s="22"/>
      <c r="DH658" s="22"/>
      <c r="DI658" s="22"/>
      <c r="DJ658" s="22"/>
      <c r="DK658" s="22"/>
      <c r="DL658" s="22"/>
      <c r="DM658" s="22"/>
      <c r="DN658" s="22"/>
      <c r="DO658" s="22"/>
      <c r="DP658" s="22"/>
    </row>
  </sheetData>
  <phoneticPr fontId="12"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T33"/>
  <sheetViews>
    <sheetView tabSelected="1" topLeftCell="A4" zoomScaleNormal="100" workbookViewId="0">
      <selection activeCell="O5" sqref="O5"/>
    </sheetView>
  </sheetViews>
  <sheetFormatPr defaultRowHeight="12.75"/>
  <cols>
    <col min="1" max="1" width="12.42578125" style="1" customWidth="1"/>
    <col min="2" max="2" width="9.140625" style="1"/>
    <col min="3" max="3" width="23.42578125" style="1" customWidth="1"/>
    <col min="4" max="6" width="8.28515625" style="1" customWidth="1"/>
    <col min="7" max="7" width="6.7109375" style="1" customWidth="1"/>
    <col min="8" max="8" width="7.5703125" style="1" customWidth="1"/>
    <col min="9" max="9" width="7.28515625" style="1" customWidth="1"/>
    <col min="10" max="10" width="7.5703125" style="1" customWidth="1"/>
    <col min="11" max="11" width="7.28515625" style="1" customWidth="1"/>
    <col min="12" max="12" width="6.85546875" style="1" customWidth="1"/>
    <col min="13" max="13" width="7.85546875" style="1" customWidth="1"/>
    <col min="14" max="14" width="6.7109375" style="1" customWidth="1"/>
    <col min="15" max="15" width="7.7109375" style="1" customWidth="1"/>
    <col min="16" max="16" width="7.42578125" style="1" customWidth="1"/>
    <col min="17" max="17" width="11.7109375" style="1" customWidth="1"/>
    <col min="18" max="16384" width="9.140625" style="1"/>
  </cols>
  <sheetData>
    <row r="1" spans="1:17" ht="22.5">
      <c r="A1" s="3" t="s">
        <v>245</v>
      </c>
      <c r="B1" s="4"/>
      <c r="C1" s="4"/>
      <c r="D1" s="4"/>
      <c r="E1" s="4"/>
      <c r="F1" s="4"/>
      <c r="G1" s="4"/>
      <c r="H1" s="4"/>
      <c r="I1" s="4"/>
      <c r="J1" s="13"/>
      <c r="K1" s="4"/>
      <c r="L1" s="4"/>
      <c r="M1" s="4"/>
      <c r="N1" s="4"/>
      <c r="O1" s="4"/>
      <c r="P1" s="61"/>
      <c r="Q1" s="61"/>
    </row>
    <row r="2" spans="1:17" ht="18.75">
      <c r="A2" s="5" t="s">
        <v>0</v>
      </c>
      <c r="B2" s="4"/>
      <c r="C2" s="4"/>
      <c r="D2" s="4"/>
      <c r="E2" s="4"/>
      <c r="F2" s="4"/>
      <c r="G2" s="4"/>
      <c r="H2" s="4"/>
      <c r="I2" s="4"/>
      <c r="J2" s="4"/>
      <c r="K2" s="4"/>
      <c r="L2" s="4"/>
      <c r="M2" s="4"/>
      <c r="N2" s="4"/>
      <c r="O2" s="4"/>
      <c r="P2" s="61"/>
      <c r="Q2" s="61"/>
    </row>
    <row r="3" spans="1:17" ht="3" customHeight="1">
      <c r="A3" s="2"/>
      <c r="B3" s="2"/>
      <c r="C3" s="2"/>
      <c r="D3" s="2"/>
      <c r="E3" s="2"/>
      <c r="F3" s="2"/>
      <c r="G3" s="2"/>
      <c r="H3" s="2"/>
      <c r="I3" s="2"/>
      <c r="J3" s="2"/>
      <c r="K3" s="2"/>
      <c r="L3" s="2"/>
      <c r="M3" s="2"/>
      <c r="N3" s="2"/>
      <c r="O3" s="2"/>
      <c r="P3" s="2"/>
      <c r="Q3" s="2"/>
    </row>
    <row r="4" spans="1:17" ht="9.75" customHeight="1" thickBot="1">
      <c r="A4" s="6"/>
      <c r="B4" s="4"/>
      <c r="C4" s="4"/>
      <c r="D4" s="4"/>
      <c r="E4" s="4"/>
      <c r="F4" s="4"/>
      <c r="G4" s="4"/>
      <c r="H4" s="4"/>
      <c r="I4" s="4"/>
      <c r="J4" s="4"/>
      <c r="K4" s="4"/>
      <c r="L4" s="4"/>
      <c r="M4" s="4"/>
      <c r="N4" s="4"/>
      <c r="O4" s="66"/>
      <c r="P4" s="61"/>
      <c r="Q4" s="61"/>
    </row>
    <row r="5" spans="1:17" ht="16.5" thickBot="1">
      <c r="A5" s="6"/>
      <c r="B5" s="4"/>
      <c r="C5" s="4"/>
      <c r="D5" s="4"/>
      <c r="E5" s="4"/>
      <c r="F5" s="4"/>
      <c r="G5" s="4"/>
      <c r="H5" s="4"/>
      <c r="I5" s="4"/>
      <c r="J5" s="4"/>
      <c r="K5" s="4"/>
      <c r="L5" s="4"/>
      <c r="M5" s="4"/>
      <c r="N5" s="4"/>
      <c r="P5" s="61"/>
      <c r="Q5" s="20">
        <v>1</v>
      </c>
    </row>
    <row r="6" spans="1:17" ht="18.75">
      <c r="A6" s="6" t="s">
        <v>1</v>
      </c>
      <c r="B6" s="84" t="str">
        <f>VLOOKUP(Q5,'Code Sheet'!A1:G39,2,TRUE)</f>
        <v>Agri-Civic Center</v>
      </c>
      <c r="C6" s="84"/>
      <c r="D6" s="84"/>
      <c r="E6" s="4"/>
      <c r="F6" s="4"/>
      <c r="G6" s="4"/>
      <c r="H6" s="5" t="s">
        <v>45</v>
      </c>
      <c r="I6" s="4"/>
      <c r="J6" s="12">
        <v>2010</v>
      </c>
      <c r="K6" s="4"/>
      <c r="L6" s="4"/>
      <c r="M6" s="4"/>
      <c r="N6" s="4"/>
      <c r="O6" s="4"/>
      <c r="P6" s="61"/>
      <c r="Q6" s="61"/>
    </row>
    <row r="7" spans="1:17" ht="7.5" customHeight="1">
      <c r="A7" s="4"/>
      <c r="B7" s="4"/>
      <c r="C7" s="4"/>
      <c r="D7" s="4"/>
      <c r="E7" s="4"/>
      <c r="F7" s="4"/>
      <c r="G7" s="4"/>
      <c r="H7" s="4"/>
      <c r="I7" s="4"/>
      <c r="J7" s="4"/>
      <c r="K7" s="4"/>
      <c r="L7" s="4"/>
      <c r="M7" s="4"/>
      <c r="N7" s="4"/>
      <c r="O7" s="4"/>
      <c r="P7" s="61"/>
      <c r="Q7" s="61"/>
    </row>
    <row r="8" spans="1:17" ht="9.75" customHeight="1" thickBot="1">
      <c r="A8" s="4"/>
      <c r="B8" s="4"/>
      <c r="C8" s="4"/>
      <c r="D8" s="4"/>
      <c r="E8" s="4"/>
      <c r="F8" s="4"/>
      <c r="G8" s="4"/>
      <c r="H8" s="4"/>
      <c r="I8" s="4"/>
      <c r="J8" s="4"/>
      <c r="K8" s="4"/>
      <c r="L8" s="4"/>
      <c r="M8" s="4"/>
      <c r="N8" s="4"/>
      <c r="O8" s="4"/>
      <c r="P8" s="61"/>
      <c r="Q8" s="61"/>
    </row>
    <row r="9" spans="1:17" ht="17.25" thickTop="1" thickBot="1">
      <c r="A9" s="7" t="s">
        <v>2</v>
      </c>
      <c r="B9" s="8"/>
      <c r="C9" s="9"/>
      <c r="D9" s="14"/>
      <c r="E9" s="14"/>
      <c r="F9" s="14"/>
      <c r="G9" s="14"/>
      <c r="H9" s="14"/>
      <c r="I9" s="14"/>
      <c r="J9" s="14"/>
      <c r="K9" s="14"/>
      <c r="L9" s="14"/>
      <c r="M9" s="35"/>
      <c r="N9" s="14"/>
      <c r="O9" s="14"/>
      <c r="P9" s="62"/>
      <c r="Q9" s="63"/>
    </row>
    <row r="10" spans="1:17" ht="15">
      <c r="A10" s="33"/>
      <c r="B10" s="34"/>
      <c r="C10" s="34"/>
      <c r="D10" s="30" t="s">
        <v>105</v>
      </c>
      <c r="E10" s="30" t="s">
        <v>106</v>
      </c>
      <c r="F10" s="30" t="s">
        <v>107</v>
      </c>
      <c r="G10" s="30" t="s">
        <v>19</v>
      </c>
      <c r="H10" s="30" t="s">
        <v>20</v>
      </c>
      <c r="I10" s="30" t="s">
        <v>21</v>
      </c>
      <c r="J10" s="30" t="s">
        <v>37</v>
      </c>
      <c r="K10" s="30" t="s">
        <v>38</v>
      </c>
      <c r="L10" s="30" t="s">
        <v>39</v>
      </c>
      <c r="M10" s="30" t="s">
        <v>40</v>
      </c>
      <c r="N10" s="30" t="s">
        <v>41</v>
      </c>
      <c r="O10" s="30" t="s">
        <v>42</v>
      </c>
      <c r="P10" s="64" t="s">
        <v>475</v>
      </c>
      <c r="Q10" s="65" t="s">
        <v>476</v>
      </c>
    </row>
    <row r="11" spans="1:17" ht="30" customHeight="1">
      <c r="A11" s="80" t="str">
        <f>VLOOKUP(Q5,'Code Sheet'!A1:G39,3,TRUE)</f>
        <v xml:space="preserve">$ Total revenue </v>
      </c>
      <c r="B11" s="81"/>
      <c r="C11" s="81"/>
      <c r="D11" s="31">
        <f>VLOOKUP(Q5,'SRT Data'!A:EZ,3,TRUE)</f>
        <v>175</v>
      </c>
      <c r="E11" s="31">
        <f>VLOOKUP(Q5,'SRT Data'!A:EZ,16,TRUE)</f>
        <v>4643</v>
      </c>
      <c r="F11" s="31">
        <f>VLOOKUP(Q5,'SRT Data'!A:EZ,29,TRUE)</f>
        <v>1275</v>
      </c>
      <c r="G11" s="31">
        <f>VLOOKUP(Q5,'SRT Data'!A:FA,42,TRUE)</f>
        <v>2800</v>
      </c>
      <c r="H11" s="31">
        <f>VLOOKUP(Q5,'SRT Data'!A:FA,55,TRUE)</f>
        <v>500</v>
      </c>
      <c r="I11" s="31">
        <f>VLOOKUP(Q5,'SRT Data'!A:FA,68,TRUE)</f>
        <v>1056</v>
      </c>
      <c r="J11" s="31">
        <f>VLOOKUP(Q5,'SRT Data'!A:FA,81,TRUE)</f>
        <v>6957</v>
      </c>
      <c r="K11" s="31">
        <f>VLOOKUP(Q5,'SRT Data'!A:FA,94,TRUE)</f>
        <v>3156</v>
      </c>
      <c r="L11" s="31">
        <f>VLOOKUP(Q5,'SRT Data'!A:FA,107,TRUE)</f>
        <v>9745</v>
      </c>
      <c r="M11" s="31">
        <f>VLOOKUP(Q5,'SRT Data'!A:FA,120,TRUE)</f>
        <v>2778</v>
      </c>
      <c r="N11" s="31">
        <f>VLOOKUP(Q5,'SRT Data'!A:FA,133,TRUE)</f>
        <v>3019</v>
      </c>
      <c r="O11" s="31">
        <f>VLOOKUP(Q5,'SRT Data'!A:FB,146,TRUE)</f>
        <v>2264</v>
      </c>
      <c r="P11" s="66">
        <f>VLOOKUP(Q5,'SRT Data'!A:FO,159,TRUE)</f>
        <v>45811</v>
      </c>
      <c r="Q11" s="68">
        <f>SUM(D11:O11)/P11</f>
        <v>0.83752810460369775</v>
      </c>
    </row>
    <row r="12" spans="1:17" ht="30" customHeight="1">
      <c r="A12" s="80" t="str">
        <f>VLOOKUP(Q5,'Code Sheet'!A1:G39,4,TRUE)</f>
        <v xml:space="preserve"># Paid events </v>
      </c>
      <c r="B12" s="81"/>
      <c r="C12" s="81"/>
      <c r="D12" s="31">
        <f>VLOOKUP(Q5,'SRT Data'!A:EZ,4,TRUE)</f>
        <v>4</v>
      </c>
      <c r="E12" s="31">
        <f>VLOOKUP(Q5,'SRT Data'!A:EZ,17,TRUE)</f>
        <v>5</v>
      </c>
      <c r="F12" s="31">
        <f>VLOOKUP(Q5,'SRT Data'!A:EZ,30,TRUE)</f>
        <v>4</v>
      </c>
      <c r="G12" s="31">
        <f>VLOOKUP(Q5,'SRT Data'!A:FA,43,TRUE)</f>
        <v>3</v>
      </c>
      <c r="H12" s="31">
        <f>VLOOKUP(Q5,'SRT Data'!A:FA,56,TRUE)</f>
        <v>1</v>
      </c>
      <c r="I12" s="31">
        <f>VLOOKUP(Q5,'SRT Data'!A:FA,69,TRUE)</f>
        <v>2</v>
      </c>
      <c r="J12" s="31">
        <f>VLOOKUP(Q5,'SRT Data'!A:FA,82,TRUE)</f>
        <v>4</v>
      </c>
      <c r="K12" s="31">
        <f>VLOOKUP(Q5,'SRT Data'!A:FA,95,TRUE)</f>
        <v>7</v>
      </c>
      <c r="L12" s="31">
        <f>VLOOKUP(Q5,'SRT Data'!A:FA,108,TRUE)</f>
        <v>9</v>
      </c>
      <c r="M12" s="31">
        <f>VLOOKUP(Q5,'SRT Data'!A:FA,121,TRUE)</f>
        <v>5</v>
      </c>
      <c r="N12" s="31">
        <f>VLOOKUP(Q5,'SRT Data'!A:FA,134,TRUE)</f>
        <v>9</v>
      </c>
      <c r="O12" s="31">
        <f>VLOOKUP(Q5,'SRT Data'!A:FA,147,TRUE)</f>
        <v>11</v>
      </c>
      <c r="P12" s="66">
        <f>VLOOKUP(Q5,'SRT Data'!A:FO,160,TRUE)</f>
        <v>96</v>
      </c>
      <c r="Q12" s="68">
        <f t="shared" ref="Q12:Q23" si="0">SUM(D12:O12)/P12</f>
        <v>0.66666666666666663</v>
      </c>
    </row>
    <row r="13" spans="1:17" ht="30" customHeight="1">
      <c r="A13" s="80" t="str">
        <f>VLOOKUP(Q5,'Code Sheet'!A1:G39,5,TRUE)</f>
        <v># Free events</v>
      </c>
      <c r="B13" s="81"/>
      <c r="C13" s="81"/>
      <c r="D13" s="31">
        <f>VLOOKUP(Q5,'SRT Data'!A:EZ,5,TRUE)</f>
        <v>19</v>
      </c>
      <c r="E13" s="31">
        <f>VLOOKUP(Q5,'SRT Data'!A:EZ,18,TRUE)</f>
        <v>13</v>
      </c>
      <c r="F13" s="31">
        <f>VLOOKUP(Q5,'SRT Data'!A:EZ,31,TRUE)</f>
        <v>11</v>
      </c>
      <c r="G13" s="31">
        <f>VLOOKUP(Q5,'SRT Data'!A:FA,44,TRUE)</f>
        <v>16</v>
      </c>
      <c r="H13" s="31">
        <f>VLOOKUP(Q5,'SRT Data'!A:FA,57,TRUE)</f>
        <v>18</v>
      </c>
      <c r="I13" s="31">
        <f>VLOOKUP(Q5,'SRT Data'!A:FA,70,TRUE)</f>
        <v>17</v>
      </c>
      <c r="J13" s="31">
        <f>VLOOKUP(Q5,'SRT Data'!A:FA,83,TRUE)</f>
        <v>25</v>
      </c>
      <c r="K13" s="31">
        <f>VLOOKUP(Q5,'SRT Data'!A:FA,96,TRUE)</f>
        <v>22</v>
      </c>
      <c r="L13" s="31">
        <f>VLOOKUP(Q5,'SRT Data'!A:FA,109,TRUE)</f>
        <v>21</v>
      </c>
      <c r="M13" s="31">
        <f>VLOOKUP(Q5,'SRT Data'!A:FA,122,TRUE)</f>
        <v>18</v>
      </c>
      <c r="N13" s="31">
        <f>VLOOKUP(Q5,'SRT Data'!A:FA,135,TRUE)</f>
        <v>8</v>
      </c>
      <c r="O13" s="31">
        <f>VLOOKUP(Q5,'SRT Data'!A:FA,148,TRUE)</f>
        <v>11</v>
      </c>
      <c r="P13" s="66">
        <f>VLOOKUP(Q5,'SRT Data'!A:FO,161,TRUE)</f>
        <v>224</v>
      </c>
      <c r="Q13" s="68">
        <f t="shared" si="0"/>
        <v>0.8883928571428571</v>
      </c>
    </row>
    <row r="14" spans="1:17" ht="30" customHeight="1">
      <c r="A14" s="80" t="str">
        <f>VLOOKUP(Q5,'Code Sheet'!A1:G39,6,TRUE)</f>
        <v xml:space="preserve"># Visitors </v>
      </c>
      <c r="B14" s="81"/>
      <c r="C14" s="81"/>
      <c r="D14" s="31">
        <f>VLOOKUP(Q5,'SRT Data'!A:EZ,6,TRUE)</f>
        <v>1705</v>
      </c>
      <c r="E14" s="31">
        <f>VLOOKUP(Q5,'SRT Data'!A:EZ,19,TRUE)</f>
        <v>4194</v>
      </c>
      <c r="F14" s="31">
        <f>VLOOKUP(Q5,'SRT Data'!A:EZ,32,TRUE)</f>
        <v>1743</v>
      </c>
      <c r="G14" s="31">
        <f>VLOOKUP(Q5,'SRT Data'!A:FA,45,TRUE)</f>
        <v>3537</v>
      </c>
      <c r="H14" s="31">
        <f>VLOOKUP(Q5,'SRT Data'!A:FA,58,TRUE)</f>
        <v>2574</v>
      </c>
      <c r="I14" s="31">
        <f>VLOOKUP(Q5,'SRT Data'!A:FA,71,TRUE)</f>
        <v>1461</v>
      </c>
      <c r="J14" s="31">
        <f>VLOOKUP(Q5,'SRT Data'!A:FA,84,TRUE)</f>
        <v>3699</v>
      </c>
      <c r="K14" s="31">
        <f>VLOOKUP(Q5,'SRT Data'!A:FA,97,TRUE)</f>
        <v>2184</v>
      </c>
      <c r="L14" s="31">
        <f>VLOOKUP(Q5,'SRT Data'!A:FA,110,TRUE)</f>
        <v>7263</v>
      </c>
      <c r="M14" s="31">
        <f>VLOOKUP(Q5,'SRT Data'!A:FA,123,TRUE)</f>
        <v>2042</v>
      </c>
      <c r="N14" s="31">
        <f>VLOOKUP(Q5,'SRT Data'!A:FA,136,TRUE)</f>
        <v>5730</v>
      </c>
      <c r="O14" s="31">
        <f>VLOOKUP(Q5,'SRT Data'!A:FA,149,TRUE)</f>
        <v>9167</v>
      </c>
      <c r="P14" s="66">
        <f>VLOOKUP(Q5,'SRT Data'!A:FO,162,TRUE)</f>
        <v>65481</v>
      </c>
      <c r="Q14" s="68">
        <f t="shared" si="0"/>
        <v>0.69178845772056019</v>
      </c>
    </row>
    <row r="15" spans="1:17" ht="30" customHeight="1">
      <c r="A15" s="80">
        <f>VLOOKUP(Q5,'Code Sheet'!A1:G39,7,TRUE)</f>
        <v>0</v>
      </c>
      <c r="B15" s="81"/>
      <c r="C15" s="81"/>
      <c r="D15" s="31">
        <f>VLOOKUP(Q5,'SRT Data'!A:EZ,7,TRUE)</f>
        <v>0</v>
      </c>
      <c r="E15" s="31">
        <f>VLOOKUP(Q5,'SRT Data'!A:EZ,20,TRUE)</f>
        <v>0</v>
      </c>
      <c r="F15" s="31">
        <f>VLOOKUP(Q5,'SRT Data'!A:EZ,33,TRUE)</f>
        <v>0</v>
      </c>
      <c r="G15" s="31">
        <f>VLOOKUP(Q5,'SRT Data'!A:FA,46,TRUE)</f>
        <v>0</v>
      </c>
      <c r="H15" s="31">
        <f>VLOOKUP(Q5,'SRT Data'!A:FA,59,TRUE)</f>
        <v>0</v>
      </c>
      <c r="I15" s="31">
        <f>VLOOKUP(Q5,'SRT Data'!A:FA,72,TRUE)</f>
        <v>0</v>
      </c>
      <c r="J15" s="31">
        <f>VLOOKUP(Q5,'SRT Data'!A:FA,85,TRUE)</f>
        <v>0</v>
      </c>
      <c r="K15" s="31">
        <f>VLOOKUP(Q5,'SRT Data'!A:FA,98,TRUE)</f>
        <v>0</v>
      </c>
      <c r="L15" s="31">
        <f>VLOOKUP(Q5,'SRT Data'!A:FA,111,TRUE)</f>
        <v>0</v>
      </c>
      <c r="M15" s="31">
        <f>VLOOKUP(Q5,'SRT Data'!A:FA,124,TRUE)</f>
        <v>0</v>
      </c>
      <c r="N15" s="31">
        <f>VLOOKUP(Q5,'SRT Data'!A:FA,137,TRUE)</f>
        <v>0</v>
      </c>
      <c r="O15" s="31">
        <f>VLOOKUP(Q5,'SRT Data'!A:FA,150,TRUE)</f>
        <v>0</v>
      </c>
      <c r="P15" s="66">
        <f>VLOOKUP(Q5,'SRT Data'!A:FO,163,TRUE)</f>
        <v>0</v>
      </c>
      <c r="Q15" s="68" t="e">
        <f t="shared" si="0"/>
        <v>#DIV/0!</v>
      </c>
    </row>
    <row r="16" spans="1:17" ht="30" customHeight="1">
      <c r="A16" s="80">
        <f>VLOOKUP(Q5,'Code Sheet'!A1:L39,8,TRUE)</f>
        <v>0</v>
      </c>
      <c r="B16" s="81"/>
      <c r="C16" s="81"/>
      <c r="D16" s="31">
        <f>VLOOKUP(Q5,'SRT Data'!A:EZ,8,TRUE)</f>
        <v>0</v>
      </c>
      <c r="E16" s="31">
        <f>VLOOKUP(Q5,'SRT Data'!A:EZ,21,TRUE)</f>
        <v>0</v>
      </c>
      <c r="F16" s="31">
        <f>VLOOKUP(Q5,'SRT Data'!A:EZ,34,TRUE)</f>
        <v>0</v>
      </c>
      <c r="G16" s="31">
        <f>VLOOKUP(Q5,'SRT Data'!A:FA,47,TRUE)</f>
        <v>0</v>
      </c>
      <c r="H16" s="31">
        <f>VLOOKUP(Q5,'SRT Data'!A:FA,60,TRUE)</f>
        <v>0</v>
      </c>
      <c r="I16" s="31">
        <f>VLOOKUP(Q5,'SRT Data'!A:FA,73,TRUE)</f>
        <v>0</v>
      </c>
      <c r="J16" s="31">
        <f>VLOOKUP(Q5,'SRT Data'!A:FA,86,TRUE)</f>
        <v>0</v>
      </c>
      <c r="K16" s="31">
        <f>VLOOKUP(Q5,'SRT Data'!A:FA,99,TRUE)</f>
        <v>0</v>
      </c>
      <c r="L16" s="31">
        <f>VLOOKUP(Q5,'SRT Data'!A:FA,112,TRUE)</f>
        <v>0</v>
      </c>
      <c r="M16" s="31">
        <f>VLOOKUP(Q5,'SRT Data'!A:FA,125,TRUE)</f>
        <v>0</v>
      </c>
      <c r="N16" s="31">
        <f>VLOOKUP(Q5,'SRT Data'!A:FA,138,TRUE)</f>
        <v>0</v>
      </c>
      <c r="O16" s="31">
        <f>VLOOKUP(Q5,'SRT Data'!A:FA,151,TRUE)</f>
        <v>0</v>
      </c>
      <c r="P16" s="66">
        <f>VLOOKUP(Q5,'SRT Data'!A:FO,164,TRUE)</f>
        <v>0</v>
      </c>
      <c r="Q16" s="68" t="e">
        <f t="shared" si="0"/>
        <v>#DIV/0!</v>
      </c>
    </row>
    <row r="17" spans="1:20" ht="30" customHeight="1">
      <c r="A17" s="80">
        <f>VLOOKUP(Q5,'Code Sheet'!A1:L39,9,TRUE)</f>
        <v>0</v>
      </c>
      <c r="B17" s="81"/>
      <c r="C17" s="81"/>
      <c r="D17" s="31">
        <f>VLOOKUP(Q5,'SRT Data'!A:EZ,9,TRUE)</f>
        <v>0</v>
      </c>
      <c r="E17" s="31">
        <f>VLOOKUP(Q5,'SRT Data'!A:EZ,22,TRUE)</f>
        <v>0</v>
      </c>
      <c r="F17" s="31">
        <f>VLOOKUP(Q5,'SRT Data'!A:EZ,35,TRUE)</f>
        <v>0</v>
      </c>
      <c r="G17" s="31">
        <f>VLOOKUP(Q5,'SRT Data'!A:FA,48,TRUE)</f>
        <v>0</v>
      </c>
      <c r="H17" s="31">
        <f>VLOOKUP(Q5,'SRT Data'!A:FA,61,TRUE)</f>
        <v>0</v>
      </c>
      <c r="I17" s="31">
        <f>VLOOKUP(Q5,'SRT Data'!A:FA,74,TRUE)</f>
        <v>0</v>
      </c>
      <c r="J17" s="31">
        <f>VLOOKUP(Q5,'SRT Data'!A:FA,87,TRUE)</f>
        <v>0</v>
      </c>
      <c r="K17" s="31">
        <f>VLOOKUP(Q5,'SRT Data'!A:FA,100,TRUE)</f>
        <v>0</v>
      </c>
      <c r="L17" s="31">
        <f>VLOOKUP(Q5,'SRT Data'!A:FA,113,TRUE)</f>
        <v>0</v>
      </c>
      <c r="M17" s="31">
        <f>VLOOKUP(Q5,'SRT Data'!A:FA,126,TRUE)</f>
        <v>0</v>
      </c>
      <c r="N17" s="31">
        <f>VLOOKUP(Q5,'SRT Data'!A:FA,139,TRUE)</f>
        <v>0</v>
      </c>
      <c r="O17" s="31">
        <f>VLOOKUP(Q5,'SRT Data'!A:FA,152,TRUE)</f>
        <v>0</v>
      </c>
      <c r="P17" s="66">
        <f>VLOOKUP(Q5,'SRT Data'!A:FO,165,TRUE)</f>
        <v>0</v>
      </c>
      <c r="Q17" s="68" t="e">
        <f t="shared" si="0"/>
        <v>#DIV/0!</v>
      </c>
    </row>
    <row r="18" spans="1:20" ht="30" customHeight="1">
      <c r="A18" s="80">
        <f>VLOOKUP(Q5,'Code Sheet'!A1:L39,10,TRUE)</f>
        <v>0</v>
      </c>
      <c r="B18" s="81"/>
      <c r="C18" s="81"/>
      <c r="D18" s="31">
        <f>VLOOKUP(Q5,'SRT Data'!A:EZ,10,TRUE)</f>
        <v>0</v>
      </c>
      <c r="E18" s="31">
        <f>VLOOKUP(Q5,'SRT Data'!A:EZ,23,TRUE)</f>
        <v>0</v>
      </c>
      <c r="F18" s="31">
        <f>VLOOKUP(Q5,'SRT Data'!A:EZ,36,TRUE)</f>
        <v>0</v>
      </c>
      <c r="G18" s="31">
        <f>VLOOKUP(Q5,'SRT Data'!A:FA,49,TRUE)</f>
        <v>0</v>
      </c>
      <c r="H18" s="31">
        <f>VLOOKUP(Q5,'SRT Data'!A:FA,62,TRUE)</f>
        <v>0</v>
      </c>
      <c r="I18" s="31">
        <f>VLOOKUP(Q5,'SRT Data'!A:FA,75,TRUE)</f>
        <v>0</v>
      </c>
      <c r="J18" s="31">
        <f>VLOOKUP(Q5,'SRT Data'!A:FA,88,TRUE)</f>
        <v>0</v>
      </c>
      <c r="K18" s="31">
        <f>VLOOKUP(Q5,'SRT Data'!A:FA,101,TRUE)</f>
        <v>0</v>
      </c>
      <c r="L18" s="31">
        <f>VLOOKUP(Q5,'SRT Data'!A:FA,114,TRUE)</f>
        <v>0</v>
      </c>
      <c r="M18" s="31">
        <f>VLOOKUP(Q5,'SRT Data'!A:FA,127,TRUE)</f>
        <v>0</v>
      </c>
      <c r="N18" s="31">
        <f>VLOOKUP(Q5,'SRT Data'!A:FA,140,TRUE)</f>
        <v>0</v>
      </c>
      <c r="O18" s="31">
        <f>VLOOKUP(Q5,'SRT Data'!A:FA,153,TRUE)</f>
        <v>0</v>
      </c>
      <c r="P18" s="66">
        <f>VLOOKUP(Q5,'SRT Data'!A:FO,166,TRUE)</f>
        <v>0</v>
      </c>
      <c r="Q18" s="68" t="e">
        <f t="shared" si="0"/>
        <v>#DIV/0!</v>
      </c>
    </row>
    <row r="19" spans="1:20" ht="30" customHeight="1">
      <c r="A19" s="80">
        <f>VLOOKUP(Q5,'Code Sheet'!A1:L39,11,TRUE)</f>
        <v>0</v>
      </c>
      <c r="B19" s="81"/>
      <c r="C19" s="81"/>
      <c r="D19" s="31">
        <f>VLOOKUP(Q5,'SRT Data'!A:EZ,11,TRUE)</f>
        <v>0</v>
      </c>
      <c r="E19" s="31">
        <f>VLOOKUP(Q5,'SRT Data'!A:EZ,24,TRUE)</f>
        <v>0</v>
      </c>
      <c r="F19" s="31">
        <f>VLOOKUP(Q5,'SRT Data'!A:EZ,37,TRUE)</f>
        <v>0</v>
      </c>
      <c r="G19" s="31">
        <f>VLOOKUP(Q5,'SRT Data'!A:FA,50,TRUE)</f>
        <v>0</v>
      </c>
      <c r="H19" s="31">
        <f>VLOOKUP(Q5,'SRT Data'!A:FA,63,TRUE)</f>
        <v>0</v>
      </c>
      <c r="I19" s="31">
        <f>VLOOKUP(Q5,'SRT Data'!A:FA,76,TRUE)</f>
        <v>0</v>
      </c>
      <c r="J19" s="31">
        <f>VLOOKUP(Q5,'SRT Data'!A:FA,89,TRUE)</f>
        <v>0</v>
      </c>
      <c r="K19" s="31">
        <f>VLOOKUP(Q5,'SRT Data'!A:FA,102,TRUE)</f>
        <v>0</v>
      </c>
      <c r="L19" s="31">
        <f>VLOOKUP(Q5,'SRT Data'!A:FA,115,TRUE)</f>
        <v>0</v>
      </c>
      <c r="M19" s="31">
        <f>VLOOKUP(Q5,'SRT Data'!A:FA,128,TRUE)</f>
        <v>0</v>
      </c>
      <c r="N19" s="31">
        <f>VLOOKUP(Q5,'SRT Data'!A:FA,141,TRUE)</f>
        <v>0</v>
      </c>
      <c r="O19" s="31">
        <f>VLOOKUP(Q5,'SRT Data'!A:FA,154,TRUE)</f>
        <v>0</v>
      </c>
      <c r="P19" s="66">
        <f>VLOOKUP(Q5,'SRT Data'!A:FO,167,TRUE)</f>
        <v>0</v>
      </c>
      <c r="Q19" s="68" t="e">
        <f t="shared" si="0"/>
        <v>#DIV/0!</v>
      </c>
    </row>
    <row r="20" spans="1:20" ht="30" customHeight="1">
      <c r="A20" s="80">
        <f>VLOOKUP(Q5,'Code Sheet'!A1:L39,12,TRUE)</f>
        <v>0</v>
      </c>
      <c r="B20" s="81"/>
      <c r="C20" s="81"/>
      <c r="D20" s="31">
        <f>VLOOKUP(Q5,'SRT Data'!A:EZ,12,TRUE)</f>
        <v>0</v>
      </c>
      <c r="E20" s="31">
        <f>VLOOKUP(Q5,'SRT Data'!A:EZ,25,TRUE)</f>
        <v>0</v>
      </c>
      <c r="F20" s="31">
        <f>VLOOKUP(Q5,'SRT Data'!A:EZ,38,TRUE)</f>
        <v>0</v>
      </c>
      <c r="G20" s="31">
        <f>VLOOKUP(Q5,'SRT Data'!A:FA,51,TRUE)</f>
        <v>0</v>
      </c>
      <c r="H20" s="31">
        <f>VLOOKUP(Q5,'SRT Data'!A:FA,64,TRUE)</f>
        <v>0</v>
      </c>
      <c r="I20" s="31">
        <f>VLOOKUP(Q5,'SRT Data'!A:FA,77,TRUE)</f>
        <v>0</v>
      </c>
      <c r="J20" s="31">
        <f>VLOOKUP(Q5,'SRT Data'!A:FA,90,TRUE)</f>
        <v>0</v>
      </c>
      <c r="K20" s="31">
        <f>VLOOKUP(Q5,'SRT Data'!A:FA,103,TRUE)</f>
        <v>0</v>
      </c>
      <c r="L20" s="31">
        <f>VLOOKUP(Q5,'SRT Data'!A:FA,116,TRUE)</f>
        <v>0</v>
      </c>
      <c r="M20" s="31">
        <f>VLOOKUP(Q5,'SRT Data'!A:FA,129,TRUE)</f>
        <v>0</v>
      </c>
      <c r="N20" s="31">
        <f>VLOOKUP(Q5,'SRT Data'!A:FA,142,TRUE)</f>
        <v>0</v>
      </c>
      <c r="O20" s="31">
        <f>VLOOKUP(Q5,'SRT Data'!A:FA,155,TRUE)</f>
        <v>0</v>
      </c>
      <c r="P20" s="66">
        <f>VLOOKUP(Q5,'SRT Data'!A:FO,168,TRUE)</f>
        <v>0</v>
      </c>
      <c r="Q20" s="68" t="e">
        <f t="shared" si="0"/>
        <v>#DIV/0!</v>
      </c>
    </row>
    <row r="21" spans="1:20" ht="30" customHeight="1">
      <c r="A21" s="80">
        <f>VLOOKUP(Q5,'Code Sheet'!A1:M40,13,TRUE)</f>
        <v>0</v>
      </c>
      <c r="B21" s="81"/>
      <c r="C21" s="81"/>
      <c r="D21" s="31">
        <f>VLOOKUP(Q5,'SRT Data'!A:EZ,13,TRUE)</f>
        <v>0</v>
      </c>
      <c r="E21" s="31">
        <f>VLOOKUP(Q5,'SRT Data'!A:EZ,26,TRUE)</f>
        <v>0</v>
      </c>
      <c r="F21" s="31">
        <f>VLOOKUP(Q5,'SRT Data'!A:EZ,39,TRUE)</f>
        <v>0</v>
      </c>
      <c r="G21" s="31">
        <f>VLOOKUP(Q5,'SRT Data'!A:FA,52,TRUE)</f>
        <v>0</v>
      </c>
      <c r="H21" s="31">
        <f>VLOOKUP(Q5,'SRT Data'!A:FA,65,TRUE)</f>
        <v>0</v>
      </c>
      <c r="I21" s="31">
        <f>VLOOKUP(Q5,'SRT Data'!A:FA,78,TRUE)</f>
        <v>0</v>
      </c>
      <c r="J21" s="31">
        <f>VLOOKUP(Q5,'SRT Data'!A:FA,91,TRUE)</f>
        <v>0</v>
      </c>
      <c r="K21" s="31">
        <f>VLOOKUP(Q5,'SRT Data'!A:FA,104,TRUE)</f>
        <v>0</v>
      </c>
      <c r="L21" s="31">
        <f>VLOOKUP(Q5,'SRT Data'!A:FA,117,TRUE)</f>
        <v>0</v>
      </c>
      <c r="M21" s="31">
        <f>VLOOKUP(Q5,'SRT Data'!A:FA,130,TRUE)</f>
        <v>0</v>
      </c>
      <c r="N21" s="31">
        <f>VLOOKUP(Q5,'SRT Data'!A:FA,143,TRUE)</f>
        <v>0</v>
      </c>
      <c r="O21" s="31">
        <f>VLOOKUP(Q5,'SRT Data'!A:FB,156,TRUE)</f>
        <v>0</v>
      </c>
      <c r="P21" s="66">
        <f>VLOOKUP(Q5,'SRT Data'!A:FO,169,TRUE)</f>
        <v>0</v>
      </c>
      <c r="Q21" s="68" t="e">
        <f t="shared" si="0"/>
        <v>#DIV/0!</v>
      </c>
      <c r="R21" s="1">
        <f>SUM(D11:O11)</f>
        <v>38368</v>
      </c>
      <c r="T21" s="1">
        <f>SUM(S21/10)</f>
        <v>0</v>
      </c>
    </row>
    <row r="22" spans="1:20" ht="30" customHeight="1">
      <c r="A22" s="80">
        <f>VLOOKUP(Q5,'Code Sheet'!A1:N41,14,TRUE)</f>
        <v>0</v>
      </c>
      <c r="B22" s="81"/>
      <c r="C22" s="81"/>
      <c r="D22" s="31">
        <f>VLOOKUP(Q5,'SRT Data'!A:EZ,14,TRUE)</f>
        <v>0</v>
      </c>
      <c r="E22" s="31">
        <f>VLOOKUP(Q5,'SRT Data'!A:EZ,27,TRUE)</f>
        <v>0</v>
      </c>
      <c r="F22" s="31">
        <f>VLOOKUP(Q5,'SRT Data'!A:EZ,40,TRUE)</f>
        <v>0</v>
      </c>
      <c r="G22" s="31">
        <f>VLOOKUP(Q5,'SRT Data'!A:FA,53,TRUE)</f>
        <v>0</v>
      </c>
      <c r="H22" s="31">
        <f>VLOOKUP(Q5,'SRT Data'!A:FA,66,TRUE)</f>
        <v>0</v>
      </c>
      <c r="I22" s="31">
        <f>VLOOKUP(Q5,'SRT Data'!A:FA,79,TRUE)</f>
        <v>0</v>
      </c>
      <c r="J22" s="31">
        <f>VLOOKUP(Q5,'SRT Data'!A:FA,92,TRUE)</f>
        <v>0</v>
      </c>
      <c r="K22" s="31">
        <f>VLOOKUP(Q5,'SRT Data'!A:FA,105,TRUE)</f>
        <v>0</v>
      </c>
      <c r="L22" s="31">
        <f>VLOOKUP(Q5,'SRT Data'!A:FA,118,TRUE)</f>
        <v>0</v>
      </c>
      <c r="M22" s="31">
        <f>VLOOKUP(Q5,'SRT Data'!A:FA,131,TRUE)</f>
        <v>0</v>
      </c>
      <c r="N22" s="31">
        <f>VLOOKUP(Q5,'SRT Data'!A:FA,144,TRUE)</f>
        <v>0</v>
      </c>
      <c r="O22" s="31">
        <f>VLOOKUP(Q5,'SRT Data'!A:FB,157,TRUE)</f>
        <v>0</v>
      </c>
      <c r="P22" s="66">
        <f>VLOOKUP(Q5,'SRT Data'!A:FO,170,TRUE)</f>
        <v>0</v>
      </c>
      <c r="Q22" s="68" t="e">
        <f t="shared" si="0"/>
        <v>#DIV/0!</v>
      </c>
      <c r="R22" s="1">
        <f>SUM(D12:O12)</f>
        <v>64</v>
      </c>
      <c r="T22" s="1">
        <f>SUM(S22/10)</f>
        <v>0</v>
      </c>
    </row>
    <row r="23" spans="1:20" ht="30" customHeight="1" thickBot="1">
      <c r="A23" s="82">
        <f>VLOOKUP(Q5,'Code Sheet'!A1:O42,15,TRUE)</f>
        <v>0</v>
      </c>
      <c r="B23" s="83"/>
      <c r="C23" s="83"/>
      <c r="D23" s="32">
        <f>VLOOKUP(Q5,'SRT Data'!A:EZ,15,TRUE)</f>
        <v>0</v>
      </c>
      <c r="E23" s="32">
        <f>VLOOKUP(Q5,'SRT Data'!A:EZ,28,TRUE)</f>
        <v>0</v>
      </c>
      <c r="F23" s="32">
        <f>VLOOKUP(Q5,'SRT Data'!A:EZ,41,TRUE)</f>
        <v>0</v>
      </c>
      <c r="G23" s="32">
        <f>VLOOKUP(Q5,'SRT Data'!A:FA,54,TRUE)</f>
        <v>0</v>
      </c>
      <c r="H23" s="32">
        <f>VLOOKUP(Q5,'SRT Data'!A:FA,67,TRUE)</f>
        <v>0</v>
      </c>
      <c r="I23" s="32">
        <f>VLOOKUP(Q5,'SRT Data'!A:FA,80,TRUE)</f>
        <v>0</v>
      </c>
      <c r="J23" s="32">
        <f>VLOOKUP(Q5,'SRT Data'!A:FA,93,TRUE)</f>
        <v>0</v>
      </c>
      <c r="K23" s="32">
        <f>VLOOKUP(Q5,'SRT Data'!A:FA,106,TRUE)</f>
        <v>0</v>
      </c>
      <c r="L23" s="32">
        <f>VLOOKUP(Q5,'SRT Data'!A:FA,119,TRUE)</f>
        <v>0</v>
      </c>
      <c r="M23" s="32">
        <f>VLOOKUP(Q5,'SRT Data'!A:FA,132,TRUE)</f>
        <v>0</v>
      </c>
      <c r="N23" s="32">
        <f>VLOOKUP(Q5,'SRT Data'!A:FA,145,TRUE)</f>
        <v>0</v>
      </c>
      <c r="O23" s="32">
        <f>VLOOKUP(Q5,'SRT Data'!A:FB,158,TRUE)</f>
        <v>0</v>
      </c>
      <c r="P23" s="67">
        <f>VLOOKUP(Q5,'SRT Data'!A:FO,171,TRUE)</f>
        <v>0</v>
      </c>
      <c r="Q23" s="69" t="e">
        <f t="shared" si="0"/>
        <v>#DIV/0!</v>
      </c>
      <c r="R23" s="1">
        <f>SUM(D13:O13)</f>
        <v>199</v>
      </c>
    </row>
    <row r="24" spans="1:20" ht="13.5" thickTop="1">
      <c r="A24" s="11"/>
      <c r="B24" s="11"/>
      <c r="C24" s="11"/>
      <c r="D24" s="11"/>
      <c r="E24" s="11"/>
      <c r="F24" s="11"/>
      <c r="G24" s="11"/>
      <c r="H24" s="11"/>
      <c r="I24" s="11"/>
      <c r="R24" s="1">
        <f>SUM(D14:O14)</f>
        <v>45299</v>
      </c>
    </row>
    <row r="25" spans="1:20">
      <c r="R25" s="1">
        <f>AVERAGE(D15:O15)</f>
        <v>0</v>
      </c>
    </row>
    <row r="26" spans="1:20">
      <c r="R26" s="1">
        <f>SUM(D16:O16)</f>
        <v>0</v>
      </c>
    </row>
    <row r="27" spans="1:20">
      <c r="R27" s="1">
        <f>SUM(D17:O17)</f>
        <v>0</v>
      </c>
    </row>
    <row r="28" spans="1:20">
      <c r="R28" s="1">
        <f>SUM(D18:O18)</f>
        <v>0</v>
      </c>
    </row>
    <row r="29" spans="1:20">
      <c r="R29" s="1">
        <f t="shared" ref="R29:R33" si="1">SUM(D19:O19)/6*12</f>
        <v>0</v>
      </c>
    </row>
    <row r="30" spans="1:20">
      <c r="R30" s="1">
        <f t="shared" si="1"/>
        <v>0</v>
      </c>
    </row>
    <row r="31" spans="1:20">
      <c r="R31" s="1">
        <f t="shared" si="1"/>
        <v>0</v>
      </c>
    </row>
    <row r="32" spans="1:20">
      <c r="R32" s="1">
        <f t="shared" si="1"/>
        <v>0</v>
      </c>
    </row>
    <row r="33" spans="18:18">
      <c r="R33" s="1">
        <f t="shared" si="1"/>
        <v>0</v>
      </c>
    </row>
  </sheetData>
  <sheetProtection selectLockedCells="1"/>
  <mergeCells count="14">
    <mergeCell ref="A22:C22"/>
    <mergeCell ref="A23:C23"/>
    <mergeCell ref="A14:C14"/>
    <mergeCell ref="A15:C15"/>
    <mergeCell ref="B6:D6"/>
    <mergeCell ref="A11:C11"/>
    <mergeCell ref="A12:C12"/>
    <mergeCell ref="A13:C13"/>
    <mergeCell ref="A20:C20"/>
    <mergeCell ref="A16:C16"/>
    <mergeCell ref="A17:C17"/>
    <mergeCell ref="A18:C18"/>
    <mergeCell ref="A19:C19"/>
    <mergeCell ref="A21:C21"/>
  </mergeCells>
  <phoneticPr fontId="12" type="noConversion"/>
  <conditionalFormatting sqref="A12:A23 B16:C23 A21:C21">
    <cfRule type="cellIs" dxfId="2" priority="1" stopIfTrue="1" operator="equal">
      <formula>0</formula>
    </cfRule>
  </conditionalFormatting>
  <conditionalFormatting sqref="D11:O23">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2:O41"/>
  <sheetViews>
    <sheetView workbookViewId="0">
      <selection activeCell="O21" sqref="O21"/>
    </sheetView>
  </sheetViews>
  <sheetFormatPr defaultRowHeight="12.75"/>
  <cols>
    <col min="1" max="1" width="17.7109375" customWidth="1"/>
    <col min="15" max="15" width="14.7109375" customWidth="1"/>
  </cols>
  <sheetData>
    <row r="2" spans="1:15">
      <c r="A2" s="21" t="s">
        <v>259</v>
      </c>
    </row>
    <row r="3" spans="1:15">
      <c r="A3" s="21" t="s">
        <v>384</v>
      </c>
    </row>
    <row r="4" spans="1:15">
      <c r="A4" s="21"/>
    </row>
    <row r="5" spans="1:15">
      <c r="A5" s="56">
        <v>1019353</v>
      </c>
    </row>
    <row r="6" spans="1:15">
      <c r="B6" s="23" t="s">
        <v>397</v>
      </c>
      <c r="C6" s="23" t="s">
        <v>387</v>
      </c>
      <c r="D6" s="23" t="s">
        <v>388</v>
      </c>
      <c r="E6" s="23" t="s">
        <v>389</v>
      </c>
      <c r="F6" s="23" t="s">
        <v>390</v>
      </c>
      <c r="G6" s="23" t="s">
        <v>391</v>
      </c>
      <c r="H6" s="23" t="s">
        <v>392</v>
      </c>
      <c r="I6" s="23" t="s">
        <v>393</v>
      </c>
      <c r="J6" s="23" t="s">
        <v>395</v>
      </c>
      <c r="K6" s="23" t="s">
        <v>394</v>
      </c>
      <c r="L6" s="23" t="s">
        <v>396</v>
      </c>
      <c r="M6" s="23" t="s">
        <v>398</v>
      </c>
      <c r="N6" s="23" t="s">
        <v>399</v>
      </c>
      <c r="O6" s="23" t="s">
        <v>400</v>
      </c>
    </row>
    <row r="7" spans="1:15">
      <c r="A7" s="23" t="s">
        <v>385</v>
      </c>
      <c r="B7">
        <v>6581</v>
      </c>
      <c r="C7">
        <v>6496</v>
      </c>
      <c r="D7">
        <v>6021</v>
      </c>
      <c r="E7">
        <v>6513</v>
      </c>
      <c r="F7">
        <v>4961</v>
      </c>
      <c r="G7">
        <v>5230</v>
      </c>
      <c r="H7">
        <v>4841</v>
      </c>
      <c r="I7">
        <v>5400</v>
      </c>
      <c r="N7" s="55">
        <f>SUM(B7:M7)</f>
        <v>46043</v>
      </c>
      <c r="O7" s="55">
        <f>AVERAGE(B7:M7)*12</f>
        <v>69064.5</v>
      </c>
    </row>
    <row r="8" spans="1:15">
      <c r="A8" s="23" t="s">
        <v>386</v>
      </c>
      <c r="B8">
        <v>34482</v>
      </c>
      <c r="C8">
        <v>33124</v>
      </c>
      <c r="D8">
        <v>34943</v>
      </c>
      <c r="E8">
        <v>37137</v>
      </c>
      <c r="F8">
        <v>27477</v>
      </c>
      <c r="G8">
        <v>30202</v>
      </c>
      <c r="H8">
        <v>27946</v>
      </c>
      <c r="I8">
        <v>30621</v>
      </c>
      <c r="N8" s="55">
        <f>SUM(B8:M8)</f>
        <v>255932</v>
      </c>
      <c r="O8" s="55">
        <f>AVERAGE(B8:M8)*12</f>
        <v>383898</v>
      </c>
    </row>
    <row r="10" spans="1:15">
      <c r="A10" s="23" t="s">
        <v>401</v>
      </c>
      <c r="B10">
        <f>SUM(1019353/O7)</f>
        <v>14.759435020886272</v>
      </c>
    </row>
    <row r="11" spans="1:15">
      <c r="A11" s="23" t="s">
        <v>386</v>
      </c>
      <c r="B11">
        <f>SUM(1019353/O8)</f>
        <v>2.6552704103694209</v>
      </c>
    </row>
    <row r="14" spans="1:15">
      <c r="A14" s="21" t="s">
        <v>420</v>
      </c>
    </row>
    <row r="16" spans="1:15">
      <c r="A16" t="s">
        <v>421</v>
      </c>
    </row>
    <row r="17" spans="1:15">
      <c r="A17">
        <v>59158</v>
      </c>
    </row>
    <row r="18" spans="1:15">
      <c r="A18" s="56">
        <v>1153501</v>
      </c>
    </row>
    <row r="19" spans="1:15">
      <c r="A19" s="23" t="s">
        <v>422</v>
      </c>
      <c r="B19">
        <v>17891</v>
      </c>
      <c r="C19">
        <v>14976</v>
      </c>
      <c r="D19">
        <v>14056</v>
      </c>
      <c r="E19">
        <v>15789</v>
      </c>
      <c r="F19">
        <v>12833</v>
      </c>
      <c r="G19">
        <v>10963</v>
      </c>
      <c r="H19">
        <v>13136</v>
      </c>
      <c r="I19">
        <v>11410</v>
      </c>
      <c r="J19">
        <v>14994</v>
      </c>
      <c r="K19">
        <v>14543</v>
      </c>
      <c r="L19">
        <v>13347</v>
      </c>
      <c r="M19">
        <v>16072</v>
      </c>
      <c r="N19">
        <f>AVERAGE(B19:M19)*12</f>
        <v>170010</v>
      </c>
    </row>
    <row r="20" spans="1:15">
      <c r="A20" s="23" t="s">
        <v>423</v>
      </c>
      <c r="B20">
        <v>21033</v>
      </c>
      <c r="C20">
        <v>18048</v>
      </c>
      <c r="D20">
        <v>17020</v>
      </c>
      <c r="E20">
        <v>18742</v>
      </c>
      <c r="F20">
        <v>15550</v>
      </c>
      <c r="G20">
        <v>13650</v>
      </c>
      <c r="H20">
        <v>16036</v>
      </c>
      <c r="I20">
        <v>14291</v>
      </c>
      <c r="J20">
        <v>18132</v>
      </c>
      <c r="K20">
        <v>17489</v>
      </c>
      <c r="L20">
        <v>16167</v>
      </c>
      <c r="M20">
        <v>20251</v>
      </c>
      <c r="N20">
        <f>AVERAGE(B20:M20)*12</f>
        <v>206409</v>
      </c>
    </row>
    <row r="22" spans="1:15">
      <c r="A22" t="s">
        <v>424</v>
      </c>
      <c r="F22">
        <f>SUM(N19/A17)</f>
        <v>2.873829405997498</v>
      </c>
    </row>
    <row r="23" spans="1:15">
      <c r="A23" t="s">
        <v>425</v>
      </c>
      <c r="F23">
        <f>SUM(N20/A17)</f>
        <v>3.4891138983738461</v>
      </c>
    </row>
    <row r="24" spans="1:15">
      <c r="A24" t="s">
        <v>426</v>
      </c>
      <c r="F24">
        <f>SUM(A18/N20)</f>
        <v>5.5884239543818337</v>
      </c>
    </row>
    <row r="29" spans="1:15">
      <c r="A29" t="s">
        <v>443</v>
      </c>
      <c r="B29" t="s">
        <v>445</v>
      </c>
      <c r="C29" t="s">
        <v>38</v>
      </c>
      <c r="D29" t="s">
        <v>39</v>
      </c>
      <c r="E29" t="s">
        <v>40</v>
      </c>
      <c r="F29" t="s">
        <v>41</v>
      </c>
      <c r="G29" t="s">
        <v>42</v>
      </c>
      <c r="H29" t="s">
        <v>105</v>
      </c>
      <c r="I29" t="s">
        <v>106</v>
      </c>
      <c r="J29" t="s">
        <v>107</v>
      </c>
      <c r="K29" t="s">
        <v>19</v>
      </c>
      <c r="L29" t="s">
        <v>20</v>
      </c>
      <c r="M29" t="s">
        <v>21</v>
      </c>
      <c r="N29" t="s">
        <v>447</v>
      </c>
    </row>
    <row r="30" spans="1:15">
      <c r="A30" t="s">
        <v>444</v>
      </c>
      <c r="B30">
        <v>19</v>
      </c>
      <c r="C30">
        <v>26</v>
      </c>
      <c r="D30">
        <v>61</v>
      </c>
      <c r="E30">
        <v>27</v>
      </c>
      <c r="F30">
        <v>37</v>
      </c>
      <c r="G30">
        <v>51</v>
      </c>
      <c r="H30">
        <v>29</v>
      </c>
      <c r="I30">
        <v>40</v>
      </c>
      <c r="J30">
        <v>26</v>
      </c>
      <c r="K30">
        <v>26</v>
      </c>
      <c r="L30">
        <v>26</v>
      </c>
      <c r="M30">
        <v>31</v>
      </c>
      <c r="N30">
        <f t="shared" ref="N30" si="0">SUM(B30:M30)</f>
        <v>399</v>
      </c>
    </row>
    <row r="31" spans="1:15">
      <c r="O31" s="57">
        <f>SUM(N32/N30)</f>
        <v>0.26315789473684209</v>
      </c>
    </row>
    <row r="32" spans="1:15">
      <c r="A32" t="s">
        <v>446</v>
      </c>
      <c r="B32">
        <v>7</v>
      </c>
      <c r="C32">
        <v>6</v>
      </c>
      <c r="D32">
        <v>12</v>
      </c>
      <c r="E32">
        <v>10</v>
      </c>
      <c r="F32">
        <v>9</v>
      </c>
      <c r="G32">
        <v>6</v>
      </c>
      <c r="H32">
        <v>21</v>
      </c>
      <c r="I32">
        <v>5</v>
      </c>
      <c r="J32">
        <v>9</v>
      </c>
      <c r="K32">
        <v>8</v>
      </c>
      <c r="L32">
        <v>4</v>
      </c>
      <c r="M32">
        <v>8</v>
      </c>
      <c r="N32">
        <f>SUM(B32:M32)</f>
        <v>105</v>
      </c>
    </row>
    <row r="35" spans="1:15">
      <c r="A35" s="23" t="s">
        <v>491</v>
      </c>
      <c r="B35" t="s">
        <v>445</v>
      </c>
      <c r="C35" t="s">
        <v>38</v>
      </c>
      <c r="D35" t="s">
        <v>39</v>
      </c>
      <c r="E35" t="s">
        <v>40</v>
      </c>
      <c r="F35" t="s">
        <v>41</v>
      </c>
      <c r="G35" t="s">
        <v>42</v>
      </c>
      <c r="H35" t="s">
        <v>105</v>
      </c>
      <c r="I35" t="s">
        <v>106</v>
      </c>
      <c r="J35" t="s">
        <v>107</v>
      </c>
      <c r="K35" t="s">
        <v>19</v>
      </c>
      <c r="L35" t="s">
        <v>20</v>
      </c>
      <c r="M35" t="s">
        <v>21</v>
      </c>
      <c r="N35" t="s">
        <v>447</v>
      </c>
    </row>
    <row r="36" spans="1:15">
      <c r="A36" s="23" t="s">
        <v>492</v>
      </c>
      <c r="B36">
        <v>3</v>
      </c>
      <c r="C36">
        <v>1</v>
      </c>
      <c r="D36">
        <v>3</v>
      </c>
      <c r="E36">
        <v>5</v>
      </c>
      <c r="F36">
        <v>2</v>
      </c>
      <c r="G36">
        <v>3</v>
      </c>
      <c r="I36">
        <v>5</v>
      </c>
      <c r="J36">
        <v>10</v>
      </c>
      <c r="K36">
        <v>9</v>
      </c>
      <c r="L36">
        <v>4</v>
      </c>
      <c r="M36">
        <v>5</v>
      </c>
      <c r="N36">
        <f t="shared" ref="N36" si="1">SUM(B36:M36)</f>
        <v>50</v>
      </c>
    </row>
    <row r="37" spans="1:15">
      <c r="O37" s="57">
        <f>SUM(N38/N36)</f>
        <v>0.02</v>
      </c>
    </row>
    <row r="38" spans="1:15">
      <c r="A38" s="23" t="s">
        <v>493</v>
      </c>
      <c r="B38">
        <v>0</v>
      </c>
      <c r="C38">
        <v>0</v>
      </c>
      <c r="D38">
        <v>0</v>
      </c>
      <c r="E38">
        <v>0</v>
      </c>
      <c r="F38">
        <v>0</v>
      </c>
      <c r="G38">
        <v>0</v>
      </c>
      <c r="I38">
        <v>1</v>
      </c>
      <c r="J38">
        <v>0</v>
      </c>
      <c r="K38">
        <v>0</v>
      </c>
      <c r="L38">
        <v>0</v>
      </c>
      <c r="M38">
        <v>0</v>
      </c>
      <c r="N38">
        <f>SUM(B38:M38)</f>
        <v>1</v>
      </c>
    </row>
    <row r="40" spans="1:15">
      <c r="A40" t="s">
        <v>453</v>
      </c>
      <c r="B40" t="s">
        <v>454</v>
      </c>
    </row>
    <row r="41" spans="1:15">
      <c r="B41" t="s">
        <v>455</v>
      </c>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B002A8D-890E-43A8-BD6D-0CE9268F95A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3.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Code Sheet</vt:lpstr>
      <vt:lpstr>SRT Data</vt:lpstr>
      <vt:lpstr>Report</vt:lpstr>
      <vt:lpstr>Efficiency 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alucas</cp:lastModifiedBy>
  <cp:lastPrinted>2010-04-07T13:24:00Z</cp:lastPrinted>
  <dcterms:created xsi:type="dcterms:W3CDTF">2006-08-14T17:37:49Z</dcterms:created>
  <dcterms:modified xsi:type="dcterms:W3CDTF">2010-07-22T15:00:31Z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